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ozpocet a souvisejici\2019\materiál na web\"/>
    </mc:Choice>
  </mc:AlternateContent>
  <bookViews>
    <workbookView xWindow="0" yWindow="0" windowWidth="25200" windowHeight="11370" tabRatio="897"/>
  </bookViews>
  <sheets>
    <sheet name="0 Seznam" sheetId="1" r:id="rId1"/>
    <sheet name="1 Bilance" sheetId="2" r:id="rId2"/>
    <sheet name="2 Stanovení podílů fixní části" sheetId="3" r:id="rId3"/>
    <sheet name="3 Stanovení podílů segmentů" sheetId="4" r:id="rId4"/>
    <sheet name="3a Výkonová část segment 1" sheetId="5" r:id="rId5"/>
    <sheet name="3b Výkonová část segment 2" sheetId="6" r:id="rId6"/>
    <sheet name="3c Výkonová část segment 3" sheetId="7" r:id="rId7"/>
    <sheet name="3d Výkonová část segment 4" sheetId="8" r:id="rId8"/>
    <sheet name="4a Společenské priority - LF" sheetId="9" r:id="rId9"/>
    <sheet name="4b Společenské priority - PedF" sheetId="12" r:id="rId10"/>
    <sheet name="5 RO I" sheetId="10" r:id="rId11"/>
    <sheet name="6 Ukazatel C" sheetId="11" r:id="rId12"/>
    <sheet name="7 Ukazatel J" sheetId="13" r:id="rId13"/>
    <sheet name="8 Ukazatel U" sheetId="14" r:id="rId14"/>
    <sheet name="9 Ukazatel I" sheetId="15" r:id="rId15"/>
    <sheet name="10 Ukazatel D" sheetId="16" r:id="rId16"/>
    <sheet name="11a Ukazatel F - U3V" sheetId="17" r:id="rId17"/>
    <sheet name="11b Ukazatel F - SSP" sheetId="18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7" i="2" l="1"/>
  <c r="O66" i="2"/>
  <c r="J8" i="16" l="1"/>
  <c r="J29" i="16"/>
  <c r="J24" i="16"/>
  <c r="J20" i="16"/>
  <c r="J14" i="16"/>
  <c r="E33" i="13" l="1"/>
  <c r="E37" i="18" l="1"/>
  <c r="D37" i="18"/>
  <c r="C37" i="18"/>
  <c r="E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6" i="18"/>
  <c r="E37" i="17"/>
  <c r="D37" i="17"/>
  <c r="C37" i="17"/>
  <c r="E36" i="17"/>
  <c r="E35" i="17"/>
  <c r="E34" i="17"/>
  <c r="E33" i="17"/>
  <c r="E32" i="17"/>
  <c r="E31" i="17"/>
  <c r="E30" i="17"/>
  <c r="E29" i="17"/>
  <c r="E28" i="17"/>
  <c r="E27" i="17"/>
  <c r="E26" i="17"/>
  <c r="E25" i="17"/>
  <c r="E24" i="17"/>
  <c r="E23" i="17"/>
  <c r="E22" i="17"/>
  <c r="E21" i="17"/>
  <c r="E20" i="17"/>
  <c r="E19" i="17"/>
  <c r="E18" i="17"/>
  <c r="E17" i="17"/>
  <c r="E16" i="17"/>
  <c r="E15" i="17"/>
  <c r="E14" i="17"/>
  <c r="E13" i="17"/>
  <c r="E12" i="17"/>
  <c r="E11" i="17"/>
  <c r="E6" i="17"/>
  <c r="H120" i="16"/>
  <c r="G120" i="16"/>
  <c r="F120" i="16"/>
  <c r="E120" i="16"/>
  <c r="H119" i="16"/>
  <c r="F119" i="16"/>
  <c r="H118" i="16"/>
  <c r="F118" i="16"/>
  <c r="H117" i="16"/>
  <c r="F117" i="16"/>
  <c r="H116" i="16"/>
  <c r="F116" i="16"/>
  <c r="H115" i="16"/>
  <c r="F115" i="16"/>
  <c r="H114" i="16"/>
  <c r="F114" i="16"/>
  <c r="H113" i="16"/>
  <c r="F113" i="16"/>
  <c r="H112" i="16"/>
  <c r="F112" i="16"/>
  <c r="H111" i="16"/>
  <c r="F111" i="16"/>
  <c r="H110" i="16"/>
  <c r="F110" i="16"/>
  <c r="H109" i="16"/>
  <c r="F109" i="16"/>
  <c r="H108" i="16"/>
  <c r="F108" i="16"/>
  <c r="H107" i="16"/>
  <c r="F107" i="16"/>
  <c r="H106" i="16"/>
  <c r="F106" i="16"/>
  <c r="H105" i="16"/>
  <c r="F105" i="16"/>
  <c r="H104" i="16"/>
  <c r="F104" i="16"/>
  <c r="H103" i="16"/>
  <c r="F103" i="16"/>
  <c r="H102" i="16"/>
  <c r="F102" i="16"/>
  <c r="H101" i="16"/>
  <c r="F101" i="16"/>
  <c r="H100" i="16"/>
  <c r="F100" i="16"/>
  <c r="H99" i="16"/>
  <c r="F99" i="16"/>
  <c r="H98" i="16"/>
  <c r="F98" i="16"/>
  <c r="H97" i="16"/>
  <c r="F97" i="16"/>
  <c r="H96" i="16"/>
  <c r="F96" i="16"/>
  <c r="H95" i="16"/>
  <c r="F95" i="16"/>
  <c r="H94" i="16"/>
  <c r="F94" i="16"/>
  <c r="G91" i="16"/>
  <c r="H90" i="16" s="1"/>
  <c r="F91" i="16"/>
  <c r="E91" i="16"/>
  <c r="F90" i="16"/>
  <c r="H89" i="16"/>
  <c r="F89" i="16"/>
  <c r="F88" i="16"/>
  <c r="F87" i="16"/>
  <c r="F86" i="16"/>
  <c r="H85" i="16"/>
  <c r="F85" i="16"/>
  <c r="F84" i="16"/>
  <c r="H83" i="16"/>
  <c r="F83" i="16"/>
  <c r="F82" i="16"/>
  <c r="H81" i="16"/>
  <c r="F81" i="16"/>
  <c r="F80" i="16"/>
  <c r="F79" i="16"/>
  <c r="F78" i="16"/>
  <c r="H77" i="16"/>
  <c r="F77" i="16"/>
  <c r="F76" i="16"/>
  <c r="H75" i="16"/>
  <c r="F75" i="16"/>
  <c r="F74" i="16"/>
  <c r="H73" i="16"/>
  <c r="F73" i="16"/>
  <c r="F72" i="16"/>
  <c r="H71" i="16"/>
  <c r="F71" i="16"/>
  <c r="F70" i="16"/>
  <c r="H69" i="16"/>
  <c r="F69" i="16"/>
  <c r="F68" i="16"/>
  <c r="H67" i="16"/>
  <c r="F67" i="16"/>
  <c r="F66" i="16"/>
  <c r="H65" i="16"/>
  <c r="F65" i="16"/>
  <c r="G62" i="16"/>
  <c r="H59" i="16" s="1"/>
  <c r="F62" i="16"/>
  <c r="E62" i="16"/>
  <c r="D62" i="16"/>
  <c r="C62" i="16"/>
  <c r="F61" i="16"/>
  <c r="D61" i="16"/>
  <c r="F60" i="16"/>
  <c r="D60" i="16"/>
  <c r="F59" i="16"/>
  <c r="D59" i="16"/>
  <c r="F58" i="16"/>
  <c r="D58" i="16"/>
  <c r="F57" i="16"/>
  <c r="D57" i="16"/>
  <c r="F56" i="16"/>
  <c r="D56" i="16"/>
  <c r="F55" i="16"/>
  <c r="D55" i="16"/>
  <c r="F54" i="16"/>
  <c r="D54" i="16"/>
  <c r="F53" i="16"/>
  <c r="D53" i="16"/>
  <c r="F52" i="16"/>
  <c r="D52" i="16"/>
  <c r="F51" i="16"/>
  <c r="D51" i="16"/>
  <c r="F50" i="16"/>
  <c r="D50" i="16"/>
  <c r="F49" i="16"/>
  <c r="D49" i="16"/>
  <c r="F48" i="16"/>
  <c r="D48" i="16"/>
  <c r="F47" i="16"/>
  <c r="D47" i="16"/>
  <c r="F46" i="16"/>
  <c r="D46" i="16"/>
  <c r="F45" i="16"/>
  <c r="D45" i="16"/>
  <c r="F44" i="16"/>
  <c r="D44" i="16"/>
  <c r="F43" i="16"/>
  <c r="D43" i="16"/>
  <c r="F42" i="16"/>
  <c r="D42" i="16"/>
  <c r="F41" i="16"/>
  <c r="D41" i="16"/>
  <c r="F40" i="16"/>
  <c r="D40" i="16"/>
  <c r="F39" i="16"/>
  <c r="D39" i="16"/>
  <c r="F38" i="16"/>
  <c r="D38" i="16"/>
  <c r="F37" i="16"/>
  <c r="D37" i="16"/>
  <c r="F36" i="16"/>
  <c r="D36" i="16"/>
  <c r="F33" i="16"/>
  <c r="D33" i="16"/>
  <c r="F32" i="16"/>
  <c r="D32" i="16"/>
  <c r="F31" i="16"/>
  <c r="D31" i="16"/>
  <c r="F30" i="16"/>
  <c r="D30" i="16"/>
  <c r="F29" i="16"/>
  <c r="D29" i="16"/>
  <c r="F28" i="16"/>
  <c r="D28" i="16"/>
  <c r="F27" i="16"/>
  <c r="D27" i="16"/>
  <c r="F26" i="16"/>
  <c r="D26" i="16"/>
  <c r="F25" i="16"/>
  <c r="D25" i="16"/>
  <c r="F24" i="16"/>
  <c r="D24" i="16"/>
  <c r="F23" i="16"/>
  <c r="D23" i="16"/>
  <c r="F22" i="16"/>
  <c r="D22" i="16"/>
  <c r="F21" i="16"/>
  <c r="D21" i="16"/>
  <c r="F20" i="16"/>
  <c r="D20" i="16"/>
  <c r="F19" i="16"/>
  <c r="D19" i="16"/>
  <c r="F18" i="16"/>
  <c r="D18" i="16"/>
  <c r="F17" i="16"/>
  <c r="D17" i="16"/>
  <c r="F16" i="16"/>
  <c r="D16" i="16"/>
  <c r="F15" i="16"/>
  <c r="D15" i="16"/>
  <c r="F14" i="16"/>
  <c r="D14" i="16"/>
  <c r="F13" i="16"/>
  <c r="D13" i="16"/>
  <c r="F12" i="16"/>
  <c r="D12" i="16"/>
  <c r="F11" i="16"/>
  <c r="D11" i="16"/>
  <c r="F10" i="16"/>
  <c r="D10" i="16"/>
  <c r="F9" i="16"/>
  <c r="D9" i="16"/>
  <c r="F8" i="16"/>
  <c r="D8" i="16"/>
  <c r="F7" i="16"/>
  <c r="D7" i="16"/>
  <c r="I6" i="16"/>
  <c r="D43" i="14"/>
  <c r="D10" i="14" s="1"/>
  <c r="C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1" i="14"/>
  <c r="D7" i="14"/>
  <c r="G37" i="13"/>
  <c r="D33" i="13"/>
  <c r="C33" i="13"/>
  <c r="G32" i="13"/>
  <c r="F32" i="13"/>
  <c r="E32" i="13"/>
  <c r="G31" i="13"/>
  <c r="F31" i="13"/>
  <c r="E31" i="13"/>
  <c r="G30" i="13"/>
  <c r="F30" i="13"/>
  <c r="E30" i="13"/>
  <c r="G29" i="13"/>
  <c r="F29" i="13"/>
  <c r="E29" i="13"/>
  <c r="G28" i="13"/>
  <c r="F28" i="13"/>
  <c r="E28" i="13"/>
  <c r="G27" i="13"/>
  <c r="F27" i="13"/>
  <c r="E27" i="13"/>
  <c r="G26" i="13"/>
  <c r="F26" i="13"/>
  <c r="E26" i="13"/>
  <c r="G25" i="13"/>
  <c r="F25" i="13"/>
  <c r="E25" i="13"/>
  <c r="G24" i="13"/>
  <c r="F24" i="13"/>
  <c r="E24" i="13"/>
  <c r="G23" i="13"/>
  <c r="F23" i="13"/>
  <c r="E23" i="13"/>
  <c r="G22" i="13"/>
  <c r="F22" i="13"/>
  <c r="E22" i="13"/>
  <c r="E21" i="13"/>
  <c r="F21" i="13" s="1"/>
  <c r="G20" i="13"/>
  <c r="F20" i="13"/>
  <c r="E20" i="13"/>
  <c r="G19" i="13"/>
  <c r="F19" i="13"/>
  <c r="E19" i="13"/>
  <c r="G18" i="13"/>
  <c r="F18" i="13"/>
  <c r="E18" i="13"/>
  <c r="G17" i="13"/>
  <c r="F17" i="13"/>
  <c r="E17" i="13"/>
  <c r="G16" i="13"/>
  <c r="F16" i="13"/>
  <c r="E16" i="13"/>
  <c r="G15" i="13"/>
  <c r="F15" i="13"/>
  <c r="E15" i="13"/>
  <c r="G14" i="13"/>
  <c r="F14" i="13"/>
  <c r="E14" i="13"/>
  <c r="G13" i="13"/>
  <c r="F13" i="13"/>
  <c r="E13" i="13"/>
  <c r="G12" i="13"/>
  <c r="F12" i="13"/>
  <c r="E12" i="13"/>
  <c r="G11" i="13"/>
  <c r="F11" i="13"/>
  <c r="E11" i="13"/>
  <c r="G10" i="13"/>
  <c r="F10" i="13"/>
  <c r="E10" i="13"/>
  <c r="G9" i="13"/>
  <c r="F9" i="13"/>
  <c r="E9" i="13"/>
  <c r="G8" i="13"/>
  <c r="F8" i="13"/>
  <c r="E8" i="13"/>
  <c r="G7" i="13"/>
  <c r="F7" i="13"/>
  <c r="E7" i="13"/>
  <c r="C36" i="11"/>
  <c r="D20" i="11"/>
  <c r="D12" i="11"/>
  <c r="C6" i="11"/>
  <c r="D34" i="11" s="1"/>
  <c r="K41" i="10"/>
  <c r="I41" i="10"/>
  <c r="E41" i="10"/>
  <c r="G40" i="10"/>
  <c r="G39" i="10"/>
  <c r="K38" i="10"/>
  <c r="G38" i="10"/>
  <c r="K37" i="10"/>
  <c r="G37" i="10"/>
  <c r="K36" i="10"/>
  <c r="G36" i="10"/>
  <c r="K35" i="10"/>
  <c r="G35" i="10"/>
  <c r="G29" i="10"/>
  <c r="J27" i="10"/>
  <c r="J26" i="10"/>
  <c r="G24" i="10"/>
  <c r="J22" i="10"/>
  <c r="J21" i="10"/>
  <c r="I21" i="10"/>
  <c r="J19" i="10"/>
  <c r="I19" i="10"/>
  <c r="G19" i="10"/>
  <c r="J18" i="10"/>
  <c r="I18" i="10"/>
  <c r="G18" i="10"/>
  <c r="J17" i="10"/>
  <c r="J16" i="10"/>
  <c r="J15" i="10"/>
  <c r="J41" i="10" s="1"/>
  <c r="I15" i="10"/>
  <c r="G15" i="10"/>
  <c r="C7" i="10"/>
  <c r="C6" i="10"/>
  <c r="H36" i="10" s="1"/>
  <c r="C5" i="10"/>
  <c r="I5" i="10" s="1"/>
  <c r="O17" i="12"/>
  <c r="N17" i="12"/>
  <c r="M17" i="12"/>
  <c r="L17" i="12"/>
  <c r="K17" i="12"/>
  <c r="J17" i="12"/>
  <c r="I17" i="12"/>
  <c r="H17" i="12"/>
  <c r="G17" i="12"/>
  <c r="F17" i="12"/>
  <c r="E17" i="12"/>
  <c r="D17" i="12"/>
  <c r="O16" i="12"/>
  <c r="N16" i="12"/>
  <c r="M16" i="12"/>
  <c r="K16" i="12"/>
  <c r="I16" i="12"/>
  <c r="H16" i="12"/>
  <c r="E16" i="12"/>
  <c r="O15" i="12"/>
  <c r="N15" i="12"/>
  <c r="M15" i="12"/>
  <c r="K15" i="12"/>
  <c r="I15" i="12"/>
  <c r="H15" i="12"/>
  <c r="E15" i="12"/>
  <c r="O14" i="12"/>
  <c r="N14" i="12"/>
  <c r="M14" i="12"/>
  <c r="K14" i="12"/>
  <c r="I14" i="12"/>
  <c r="H14" i="12"/>
  <c r="E14" i="12"/>
  <c r="O13" i="12"/>
  <c r="N13" i="12"/>
  <c r="M13" i="12"/>
  <c r="K13" i="12"/>
  <c r="I13" i="12"/>
  <c r="H13" i="12"/>
  <c r="E13" i="12"/>
  <c r="O12" i="12"/>
  <c r="N12" i="12"/>
  <c r="M12" i="12"/>
  <c r="K12" i="12"/>
  <c r="I12" i="12"/>
  <c r="H12" i="12"/>
  <c r="E12" i="12"/>
  <c r="O11" i="12"/>
  <c r="N11" i="12"/>
  <c r="M11" i="12"/>
  <c r="K11" i="12"/>
  <c r="I11" i="12"/>
  <c r="H11" i="12"/>
  <c r="E11" i="12"/>
  <c r="O10" i="12"/>
  <c r="N10" i="12"/>
  <c r="M10" i="12"/>
  <c r="K10" i="12"/>
  <c r="I10" i="12"/>
  <c r="H10" i="12"/>
  <c r="E10" i="12"/>
  <c r="O9" i="12"/>
  <c r="N9" i="12"/>
  <c r="M9" i="12"/>
  <c r="K9" i="12"/>
  <c r="I9" i="12"/>
  <c r="H9" i="12"/>
  <c r="E9" i="12"/>
  <c r="O8" i="12"/>
  <c r="N8" i="12"/>
  <c r="M8" i="12"/>
  <c r="K8" i="12"/>
  <c r="I8" i="12"/>
  <c r="H8" i="12"/>
  <c r="E8" i="12"/>
  <c r="N5" i="12"/>
  <c r="F47" i="9"/>
  <c r="D47" i="9"/>
  <c r="F37" i="9"/>
  <c r="D37" i="9"/>
  <c r="F27" i="9"/>
  <c r="D27" i="9"/>
  <c r="I17" i="9"/>
  <c r="H17" i="9"/>
  <c r="G17" i="9"/>
  <c r="F17" i="9"/>
  <c r="E17" i="9"/>
  <c r="D17" i="9"/>
  <c r="I16" i="9"/>
  <c r="H16" i="9"/>
  <c r="G16" i="9"/>
  <c r="F16" i="9"/>
  <c r="E16" i="9"/>
  <c r="D16" i="9"/>
  <c r="I15" i="9"/>
  <c r="H15" i="9"/>
  <c r="G15" i="9"/>
  <c r="F15" i="9"/>
  <c r="E15" i="9"/>
  <c r="D15" i="9"/>
  <c r="I14" i="9"/>
  <c r="H14" i="9"/>
  <c r="G14" i="9"/>
  <c r="F14" i="9"/>
  <c r="E14" i="9"/>
  <c r="D14" i="9"/>
  <c r="I13" i="9"/>
  <c r="H13" i="9"/>
  <c r="G13" i="9"/>
  <c r="F13" i="9"/>
  <c r="E13" i="9"/>
  <c r="D13" i="9"/>
  <c r="I12" i="9"/>
  <c r="H12" i="9"/>
  <c r="G12" i="9"/>
  <c r="F12" i="9"/>
  <c r="E12" i="9"/>
  <c r="D12" i="9"/>
  <c r="I11" i="9"/>
  <c r="H11" i="9"/>
  <c r="G11" i="9"/>
  <c r="F11" i="9"/>
  <c r="E11" i="9"/>
  <c r="D11" i="9"/>
  <c r="I10" i="9"/>
  <c r="H10" i="9"/>
  <c r="G10" i="9"/>
  <c r="F10" i="9"/>
  <c r="E10" i="9"/>
  <c r="D10" i="9"/>
  <c r="I9" i="9"/>
  <c r="H9" i="9"/>
  <c r="G9" i="9"/>
  <c r="F9" i="9"/>
  <c r="E9" i="9"/>
  <c r="D9" i="9"/>
  <c r="R39" i="8"/>
  <c r="Q39" i="8"/>
  <c r="R38" i="8"/>
  <c r="R37" i="8"/>
  <c r="R36" i="8"/>
  <c r="R35" i="8"/>
  <c r="R34" i="8"/>
  <c r="R32" i="8"/>
  <c r="Q32" i="8"/>
  <c r="P32" i="8"/>
  <c r="O32" i="8"/>
  <c r="H32" i="8"/>
  <c r="G32" i="8"/>
  <c r="F32" i="8"/>
  <c r="E32" i="8"/>
  <c r="R31" i="8"/>
  <c r="P31" i="8"/>
  <c r="H31" i="8"/>
  <c r="G31" i="8"/>
  <c r="R30" i="8"/>
  <c r="P30" i="8"/>
  <c r="H30" i="8"/>
  <c r="G30" i="8"/>
  <c r="R29" i="8"/>
  <c r="P29" i="8"/>
  <c r="H29" i="8"/>
  <c r="G29" i="8"/>
  <c r="R28" i="8"/>
  <c r="P28" i="8"/>
  <c r="H28" i="8"/>
  <c r="G28" i="8"/>
  <c r="R27" i="8"/>
  <c r="P27" i="8"/>
  <c r="H27" i="8"/>
  <c r="G27" i="8"/>
  <c r="T25" i="8"/>
  <c r="S25" i="8"/>
  <c r="R25" i="8"/>
  <c r="Q25" i="8"/>
  <c r="P25" i="8"/>
  <c r="O25" i="8"/>
  <c r="H25" i="8"/>
  <c r="G25" i="8"/>
  <c r="F25" i="8"/>
  <c r="E25" i="8"/>
  <c r="T24" i="8"/>
  <c r="R24" i="8"/>
  <c r="P24" i="8"/>
  <c r="H24" i="8"/>
  <c r="G24" i="8"/>
  <c r="T23" i="8"/>
  <c r="R23" i="8"/>
  <c r="P23" i="8"/>
  <c r="H23" i="8"/>
  <c r="G23" i="8"/>
  <c r="T22" i="8"/>
  <c r="R22" i="8"/>
  <c r="P22" i="8"/>
  <c r="H22" i="8"/>
  <c r="G22" i="8"/>
  <c r="T21" i="8"/>
  <c r="R21" i="8"/>
  <c r="P21" i="8"/>
  <c r="H21" i="8"/>
  <c r="G21" i="8"/>
  <c r="T20" i="8"/>
  <c r="R20" i="8"/>
  <c r="P20" i="8"/>
  <c r="H20" i="8"/>
  <c r="G20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P17" i="8"/>
  <c r="N17" i="8"/>
  <c r="J17" i="8"/>
  <c r="H17" i="8"/>
  <c r="G17" i="8"/>
  <c r="D17" i="8"/>
  <c r="P16" i="8"/>
  <c r="N16" i="8"/>
  <c r="J16" i="8"/>
  <c r="H16" i="8"/>
  <c r="G16" i="8"/>
  <c r="D16" i="8"/>
  <c r="P15" i="8"/>
  <c r="N15" i="8"/>
  <c r="J15" i="8"/>
  <c r="H15" i="8"/>
  <c r="G15" i="8"/>
  <c r="D15" i="8"/>
  <c r="P14" i="8"/>
  <c r="N14" i="8"/>
  <c r="J14" i="8"/>
  <c r="H14" i="8"/>
  <c r="G14" i="8"/>
  <c r="D14" i="8"/>
  <c r="P13" i="8"/>
  <c r="N13" i="8"/>
  <c r="J13" i="8"/>
  <c r="H13" i="8"/>
  <c r="G13" i="8"/>
  <c r="D13" i="8"/>
  <c r="V11" i="8"/>
  <c r="U11" i="8"/>
  <c r="T11" i="8"/>
  <c r="R11" i="8"/>
  <c r="P11" i="8"/>
  <c r="N11" i="8"/>
  <c r="L11" i="8"/>
  <c r="J11" i="8"/>
  <c r="H11" i="8"/>
  <c r="D11" i="8"/>
  <c r="V10" i="8"/>
  <c r="U10" i="8"/>
  <c r="U10" i="8" a="1"/>
  <c r="T10" i="8"/>
  <c r="R10" i="8"/>
  <c r="P10" i="8"/>
  <c r="N10" i="8"/>
  <c r="L10" i="8"/>
  <c r="J10" i="8"/>
  <c r="H10" i="8"/>
  <c r="D10" i="8"/>
  <c r="V9" i="8"/>
  <c r="U9" i="8"/>
  <c r="U9" i="8" a="1"/>
  <c r="T9" i="8"/>
  <c r="R9" i="8"/>
  <c r="P9" i="8"/>
  <c r="N9" i="8"/>
  <c r="L9" i="8"/>
  <c r="J9" i="8"/>
  <c r="H9" i="8"/>
  <c r="D9" i="8"/>
  <c r="V8" i="8"/>
  <c r="U8" i="8"/>
  <c r="U8" i="8" a="1"/>
  <c r="T8" i="8"/>
  <c r="R8" i="8"/>
  <c r="P8" i="8"/>
  <c r="N8" i="8"/>
  <c r="L8" i="8"/>
  <c r="J8" i="8"/>
  <c r="H8" i="8"/>
  <c r="D8" i="8"/>
  <c r="V7" i="8"/>
  <c r="U7" i="8"/>
  <c r="U7" i="8" a="1"/>
  <c r="T7" i="8"/>
  <c r="R7" i="8"/>
  <c r="P7" i="8"/>
  <c r="N7" i="8"/>
  <c r="L7" i="8"/>
  <c r="J7" i="8"/>
  <c r="H7" i="8"/>
  <c r="D7" i="8"/>
  <c r="V6" i="8"/>
  <c r="U6" i="8"/>
  <c r="U6" i="8" a="1"/>
  <c r="T6" i="8"/>
  <c r="R6" i="8"/>
  <c r="P6" i="8"/>
  <c r="N6" i="8"/>
  <c r="L6" i="8"/>
  <c r="J6" i="8"/>
  <c r="H6" i="8"/>
  <c r="D6" i="8"/>
  <c r="V3" i="8"/>
  <c r="U3" i="8"/>
  <c r="R89" i="7"/>
  <c r="Q89" i="7"/>
  <c r="R88" i="7"/>
  <c r="R87" i="7"/>
  <c r="R86" i="7"/>
  <c r="R85" i="7"/>
  <c r="R84" i="7"/>
  <c r="R83" i="7"/>
  <c r="R82" i="7"/>
  <c r="R81" i="7"/>
  <c r="R80" i="7"/>
  <c r="R79" i="7"/>
  <c r="R78" i="7"/>
  <c r="R77" i="7"/>
  <c r="R76" i="7"/>
  <c r="R75" i="7"/>
  <c r="R74" i="7"/>
  <c r="R72" i="7"/>
  <c r="Q72" i="7"/>
  <c r="P72" i="7"/>
  <c r="O72" i="7"/>
  <c r="H72" i="7"/>
  <c r="G72" i="7"/>
  <c r="F72" i="7"/>
  <c r="E72" i="7"/>
  <c r="R71" i="7"/>
  <c r="P71" i="7"/>
  <c r="H71" i="7"/>
  <c r="G71" i="7"/>
  <c r="R70" i="7"/>
  <c r="P70" i="7"/>
  <c r="H70" i="7"/>
  <c r="G70" i="7"/>
  <c r="R69" i="7"/>
  <c r="P69" i="7"/>
  <c r="H69" i="7"/>
  <c r="G69" i="7"/>
  <c r="R68" i="7"/>
  <c r="P68" i="7"/>
  <c r="H68" i="7"/>
  <c r="G68" i="7"/>
  <c r="R67" i="7"/>
  <c r="P67" i="7"/>
  <c r="H67" i="7"/>
  <c r="G67" i="7"/>
  <c r="R66" i="7"/>
  <c r="P66" i="7"/>
  <c r="H66" i="7"/>
  <c r="G66" i="7"/>
  <c r="R65" i="7"/>
  <c r="P65" i="7"/>
  <c r="H65" i="7"/>
  <c r="G65" i="7"/>
  <c r="R64" i="7"/>
  <c r="P64" i="7"/>
  <c r="H64" i="7"/>
  <c r="G64" i="7"/>
  <c r="R63" i="7"/>
  <c r="P63" i="7"/>
  <c r="H63" i="7"/>
  <c r="G63" i="7"/>
  <c r="R62" i="7"/>
  <c r="P62" i="7"/>
  <c r="H62" i="7"/>
  <c r="G62" i="7"/>
  <c r="R61" i="7"/>
  <c r="P61" i="7"/>
  <c r="H61" i="7"/>
  <c r="G61" i="7"/>
  <c r="R60" i="7"/>
  <c r="P60" i="7"/>
  <c r="H60" i="7"/>
  <c r="G60" i="7"/>
  <c r="R59" i="7"/>
  <c r="P59" i="7"/>
  <c r="H59" i="7"/>
  <c r="G59" i="7"/>
  <c r="R58" i="7"/>
  <c r="P58" i="7"/>
  <c r="H58" i="7"/>
  <c r="G58" i="7"/>
  <c r="R57" i="7"/>
  <c r="P57" i="7"/>
  <c r="H57" i="7"/>
  <c r="G57" i="7"/>
  <c r="T55" i="7"/>
  <c r="S55" i="7"/>
  <c r="R55" i="7"/>
  <c r="Q55" i="7"/>
  <c r="P55" i="7"/>
  <c r="O55" i="7"/>
  <c r="G55" i="7"/>
  <c r="H53" i="7" s="1"/>
  <c r="F55" i="7"/>
  <c r="E55" i="7"/>
  <c r="T54" i="7"/>
  <c r="R54" i="7"/>
  <c r="P54" i="7"/>
  <c r="G54" i="7"/>
  <c r="T53" i="7"/>
  <c r="R53" i="7"/>
  <c r="P53" i="7"/>
  <c r="G53" i="7"/>
  <c r="T52" i="7"/>
  <c r="R52" i="7"/>
  <c r="P52" i="7"/>
  <c r="H52" i="7"/>
  <c r="G52" i="7"/>
  <c r="T51" i="7"/>
  <c r="R51" i="7"/>
  <c r="P51" i="7"/>
  <c r="H51" i="7"/>
  <c r="G51" i="7"/>
  <c r="T50" i="7"/>
  <c r="R50" i="7"/>
  <c r="P50" i="7"/>
  <c r="G50" i="7"/>
  <c r="T49" i="7"/>
  <c r="R49" i="7"/>
  <c r="P49" i="7"/>
  <c r="G49" i="7"/>
  <c r="T48" i="7"/>
  <c r="R48" i="7"/>
  <c r="P48" i="7"/>
  <c r="H48" i="7"/>
  <c r="G48" i="7"/>
  <c r="T47" i="7"/>
  <c r="R47" i="7"/>
  <c r="P47" i="7"/>
  <c r="H47" i="7"/>
  <c r="G47" i="7"/>
  <c r="T46" i="7"/>
  <c r="R46" i="7"/>
  <c r="P46" i="7"/>
  <c r="G46" i="7"/>
  <c r="T45" i="7"/>
  <c r="R45" i="7"/>
  <c r="P45" i="7"/>
  <c r="G45" i="7"/>
  <c r="T44" i="7"/>
  <c r="R44" i="7"/>
  <c r="P44" i="7"/>
  <c r="H44" i="7"/>
  <c r="G44" i="7"/>
  <c r="T43" i="7"/>
  <c r="R43" i="7"/>
  <c r="P43" i="7"/>
  <c r="H43" i="7"/>
  <c r="G43" i="7"/>
  <c r="T42" i="7"/>
  <c r="R42" i="7"/>
  <c r="P42" i="7"/>
  <c r="G42" i="7"/>
  <c r="T41" i="7"/>
  <c r="R41" i="7"/>
  <c r="P41" i="7"/>
  <c r="G41" i="7"/>
  <c r="T40" i="7"/>
  <c r="R40" i="7"/>
  <c r="P40" i="7"/>
  <c r="H40" i="7"/>
  <c r="G40" i="7"/>
  <c r="P38" i="7"/>
  <c r="O38" i="7"/>
  <c r="N38" i="7"/>
  <c r="M38" i="7"/>
  <c r="L38" i="7"/>
  <c r="J38" i="7"/>
  <c r="I38" i="7"/>
  <c r="G38" i="7"/>
  <c r="F38" i="7"/>
  <c r="E38" i="7"/>
  <c r="D38" i="7"/>
  <c r="C38" i="7"/>
  <c r="P37" i="7"/>
  <c r="N37" i="7"/>
  <c r="J37" i="7"/>
  <c r="H37" i="7"/>
  <c r="G37" i="7"/>
  <c r="D37" i="7"/>
  <c r="P36" i="7"/>
  <c r="N36" i="7"/>
  <c r="J36" i="7"/>
  <c r="H36" i="7"/>
  <c r="G36" i="7"/>
  <c r="D36" i="7"/>
  <c r="P35" i="7"/>
  <c r="N35" i="7"/>
  <c r="J35" i="7"/>
  <c r="H35" i="7"/>
  <c r="G35" i="7"/>
  <c r="D35" i="7"/>
  <c r="P34" i="7"/>
  <c r="N34" i="7"/>
  <c r="J34" i="7"/>
  <c r="H34" i="7"/>
  <c r="G34" i="7"/>
  <c r="D34" i="7"/>
  <c r="P33" i="7"/>
  <c r="N33" i="7"/>
  <c r="J33" i="7"/>
  <c r="H33" i="7"/>
  <c r="G33" i="7"/>
  <c r="D33" i="7"/>
  <c r="P32" i="7"/>
  <c r="N32" i="7"/>
  <c r="J32" i="7"/>
  <c r="H32" i="7"/>
  <c r="G32" i="7"/>
  <c r="D32" i="7"/>
  <c r="P31" i="7"/>
  <c r="N31" i="7"/>
  <c r="J31" i="7"/>
  <c r="H31" i="7"/>
  <c r="H14" i="7" s="1"/>
  <c r="U14" i="7" s="1"/>
  <c r="V14" i="7" s="1"/>
  <c r="G27" i="10" s="1"/>
  <c r="G31" i="7"/>
  <c r="D31" i="7"/>
  <c r="P30" i="7"/>
  <c r="N30" i="7"/>
  <c r="J30" i="7"/>
  <c r="H30" i="7"/>
  <c r="H13" i="7" s="1"/>
  <c r="U13" i="7" s="1"/>
  <c r="V13" i="7" s="1"/>
  <c r="G26" i="10" s="1"/>
  <c r="G30" i="7"/>
  <c r="D30" i="7"/>
  <c r="P29" i="7"/>
  <c r="N29" i="7"/>
  <c r="J29" i="7"/>
  <c r="H29" i="7"/>
  <c r="G29" i="7"/>
  <c r="D29" i="7"/>
  <c r="P28" i="7"/>
  <c r="N28" i="7"/>
  <c r="J28" i="7"/>
  <c r="H28" i="7"/>
  <c r="G28" i="7"/>
  <c r="D28" i="7"/>
  <c r="P27" i="7"/>
  <c r="N27" i="7"/>
  <c r="J27" i="7"/>
  <c r="H27" i="7"/>
  <c r="G27" i="7"/>
  <c r="D27" i="7"/>
  <c r="P26" i="7"/>
  <c r="N26" i="7"/>
  <c r="J26" i="7"/>
  <c r="H26" i="7"/>
  <c r="H9" i="7" s="1"/>
  <c r="U9" i="7" s="1"/>
  <c r="V9" i="7" s="1"/>
  <c r="G21" i="10" s="1"/>
  <c r="G26" i="7"/>
  <c r="D26" i="7"/>
  <c r="P25" i="7"/>
  <c r="N25" i="7"/>
  <c r="J25" i="7"/>
  <c r="H25" i="7"/>
  <c r="G25" i="7"/>
  <c r="D25" i="7"/>
  <c r="P24" i="7"/>
  <c r="N24" i="7"/>
  <c r="J24" i="7"/>
  <c r="H24" i="7"/>
  <c r="G24" i="7"/>
  <c r="D24" i="7"/>
  <c r="P23" i="7"/>
  <c r="N23" i="7"/>
  <c r="J23" i="7"/>
  <c r="H23" i="7"/>
  <c r="H38" i="7" s="1"/>
  <c r="G23" i="7"/>
  <c r="D23" i="7"/>
  <c r="T21" i="7"/>
  <c r="R21" i="7"/>
  <c r="P21" i="7"/>
  <c r="N21" i="7"/>
  <c r="L21" i="7"/>
  <c r="J21" i="7"/>
  <c r="D21" i="7"/>
  <c r="U20" i="7" a="1"/>
  <c r="T20" i="7"/>
  <c r="R20" i="7"/>
  <c r="P20" i="7"/>
  <c r="N20" i="7"/>
  <c r="L20" i="7"/>
  <c r="J20" i="7"/>
  <c r="D20" i="7"/>
  <c r="U19" i="7" a="1"/>
  <c r="T19" i="7"/>
  <c r="R19" i="7"/>
  <c r="P19" i="7"/>
  <c r="N19" i="7"/>
  <c r="L19" i="7"/>
  <c r="J19" i="7"/>
  <c r="D19" i="7"/>
  <c r="U18" i="7" a="1"/>
  <c r="T18" i="7"/>
  <c r="R18" i="7"/>
  <c r="P18" i="7"/>
  <c r="N18" i="7"/>
  <c r="L18" i="7"/>
  <c r="J18" i="7"/>
  <c r="H18" i="7"/>
  <c r="U18" i="7" s="1"/>
  <c r="V18" i="7" s="1"/>
  <c r="G32" i="10" s="1"/>
  <c r="D18" i="7"/>
  <c r="U17" i="7" a="1"/>
  <c r="T17" i="7"/>
  <c r="R17" i="7"/>
  <c r="P17" i="7"/>
  <c r="N17" i="7"/>
  <c r="L17" i="7"/>
  <c r="J17" i="7"/>
  <c r="H17" i="7"/>
  <c r="U17" i="7" s="1"/>
  <c r="V17" i="7" s="1"/>
  <c r="G31" i="10" s="1"/>
  <c r="D17" i="7"/>
  <c r="U16" i="7" a="1"/>
  <c r="T16" i="7"/>
  <c r="R16" i="7"/>
  <c r="P16" i="7"/>
  <c r="N16" i="7"/>
  <c r="L16" i="7"/>
  <c r="J16" i="7"/>
  <c r="D16" i="7"/>
  <c r="U15" i="7" a="1"/>
  <c r="T15" i="7"/>
  <c r="R15" i="7"/>
  <c r="P15" i="7"/>
  <c r="N15" i="7"/>
  <c r="L15" i="7"/>
  <c r="J15" i="7"/>
  <c r="D15" i="7"/>
  <c r="U14" i="7" a="1"/>
  <c r="T14" i="7"/>
  <c r="R14" i="7"/>
  <c r="P14" i="7"/>
  <c r="N14" i="7"/>
  <c r="L14" i="7"/>
  <c r="J14" i="7"/>
  <c r="D14" i="7"/>
  <c r="U13" i="7" a="1"/>
  <c r="T13" i="7"/>
  <c r="R13" i="7"/>
  <c r="P13" i="7"/>
  <c r="N13" i="7"/>
  <c r="L13" i="7"/>
  <c r="J13" i="7"/>
  <c r="D13" i="7"/>
  <c r="U12" i="7" a="1"/>
  <c r="T12" i="7"/>
  <c r="R12" i="7"/>
  <c r="P12" i="7"/>
  <c r="N12" i="7"/>
  <c r="L12" i="7"/>
  <c r="J12" i="7"/>
  <c r="D12" i="7"/>
  <c r="U11" i="7" a="1"/>
  <c r="T11" i="7"/>
  <c r="R11" i="7"/>
  <c r="P11" i="7"/>
  <c r="N11" i="7"/>
  <c r="L11" i="7"/>
  <c r="J11" i="7"/>
  <c r="D11" i="7"/>
  <c r="U10" i="7" a="1"/>
  <c r="T10" i="7"/>
  <c r="R10" i="7"/>
  <c r="P10" i="7"/>
  <c r="N10" i="7"/>
  <c r="L10" i="7"/>
  <c r="J10" i="7"/>
  <c r="H10" i="7"/>
  <c r="U10" i="7" s="1"/>
  <c r="V10" i="7" s="1"/>
  <c r="G22" i="10" s="1"/>
  <c r="D10" i="7"/>
  <c r="U9" i="7" a="1"/>
  <c r="T9" i="7"/>
  <c r="R9" i="7"/>
  <c r="P9" i="7"/>
  <c r="N9" i="7"/>
  <c r="L9" i="7"/>
  <c r="J9" i="7"/>
  <c r="D9" i="7"/>
  <c r="U8" i="7" a="1"/>
  <c r="T8" i="7"/>
  <c r="R8" i="7"/>
  <c r="P8" i="7"/>
  <c r="N8" i="7"/>
  <c r="L8" i="7"/>
  <c r="J8" i="7"/>
  <c r="D8" i="7"/>
  <c r="U7" i="7" a="1"/>
  <c r="T7" i="7"/>
  <c r="R7" i="7"/>
  <c r="P7" i="7"/>
  <c r="N7" i="7"/>
  <c r="L7" i="7"/>
  <c r="J7" i="7"/>
  <c r="D7" i="7"/>
  <c r="U6" i="7" a="1"/>
  <c r="T6" i="7"/>
  <c r="R6" i="7"/>
  <c r="P6" i="7"/>
  <c r="N6" i="7"/>
  <c r="L6" i="7"/>
  <c r="J6" i="7"/>
  <c r="H6" i="7"/>
  <c r="U6" i="7" s="1"/>
  <c r="D6" i="7"/>
  <c r="V3" i="7"/>
  <c r="U3" i="7"/>
  <c r="F20" i="6"/>
  <c r="E20" i="6"/>
  <c r="F19" i="6"/>
  <c r="F18" i="6"/>
  <c r="F16" i="6"/>
  <c r="E16" i="6"/>
  <c r="F15" i="6"/>
  <c r="F14" i="6"/>
  <c r="H12" i="6"/>
  <c r="G12" i="6"/>
  <c r="F12" i="6"/>
  <c r="E12" i="6"/>
  <c r="D12" i="6"/>
  <c r="C12" i="6"/>
  <c r="H11" i="6"/>
  <c r="F11" i="6"/>
  <c r="D11" i="6"/>
  <c r="H10" i="6"/>
  <c r="F10" i="6"/>
  <c r="D10" i="6"/>
  <c r="J8" i="6"/>
  <c r="I8" i="6"/>
  <c r="H8" i="6"/>
  <c r="F8" i="6"/>
  <c r="D8" i="6"/>
  <c r="J7" i="6"/>
  <c r="I7" i="6"/>
  <c r="I7" i="6" a="1"/>
  <c r="H7" i="6"/>
  <c r="F7" i="6"/>
  <c r="D7" i="6"/>
  <c r="J6" i="6"/>
  <c r="I6" i="6"/>
  <c r="I6" i="6" a="1"/>
  <c r="H6" i="6"/>
  <c r="F6" i="6"/>
  <c r="D6" i="6"/>
  <c r="J3" i="6"/>
  <c r="I3" i="6"/>
  <c r="P34" i="5"/>
  <c r="O34" i="5"/>
  <c r="P33" i="5"/>
  <c r="P32" i="5"/>
  <c r="P31" i="5"/>
  <c r="P30" i="5"/>
  <c r="P28" i="5"/>
  <c r="O28" i="5"/>
  <c r="N28" i="5"/>
  <c r="M28" i="5"/>
  <c r="F28" i="5"/>
  <c r="E28" i="5"/>
  <c r="D28" i="5"/>
  <c r="C28" i="5"/>
  <c r="P27" i="5"/>
  <c r="N27" i="5"/>
  <c r="F27" i="5"/>
  <c r="E27" i="5"/>
  <c r="P26" i="5"/>
  <c r="N26" i="5"/>
  <c r="F26" i="5"/>
  <c r="E26" i="5"/>
  <c r="P25" i="5"/>
  <c r="N25" i="5"/>
  <c r="F25" i="5"/>
  <c r="E25" i="5"/>
  <c r="P24" i="5"/>
  <c r="N24" i="5"/>
  <c r="F24" i="5"/>
  <c r="E24" i="5"/>
  <c r="P22" i="5"/>
  <c r="O22" i="5"/>
  <c r="N22" i="5"/>
  <c r="M22" i="5"/>
  <c r="F22" i="5"/>
  <c r="E22" i="5"/>
  <c r="D22" i="5"/>
  <c r="C22" i="5"/>
  <c r="P21" i="5"/>
  <c r="N21" i="5"/>
  <c r="F21" i="5"/>
  <c r="E21" i="5"/>
  <c r="P20" i="5"/>
  <c r="N20" i="5"/>
  <c r="F20" i="5"/>
  <c r="E20" i="5"/>
  <c r="P19" i="5"/>
  <c r="N19" i="5"/>
  <c r="F19" i="5"/>
  <c r="E19" i="5"/>
  <c r="P18" i="5"/>
  <c r="N18" i="5"/>
  <c r="F18" i="5"/>
  <c r="E18" i="5"/>
  <c r="N16" i="5"/>
  <c r="M16" i="5"/>
  <c r="L16" i="5"/>
  <c r="K16" i="5"/>
  <c r="J16" i="5"/>
  <c r="I16" i="5"/>
  <c r="H16" i="5"/>
  <c r="G16" i="5"/>
  <c r="F16" i="5"/>
  <c r="E16" i="5"/>
  <c r="D16" i="5"/>
  <c r="C16" i="5"/>
  <c r="N15" i="5"/>
  <c r="L15" i="5"/>
  <c r="H15" i="5"/>
  <c r="F15" i="5"/>
  <c r="E15" i="5"/>
  <c r="N14" i="5"/>
  <c r="L14" i="5"/>
  <c r="H14" i="5"/>
  <c r="F14" i="5"/>
  <c r="E14" i="5"/>
  <c r="N13" i="5"/>
  <c r="L13" i="5"/>
  <c r="H13" i="5"/>
  <c r="F13" i="5"/>
  <c r="E13" i="5"/>
  <c r="N12" i="5"/>
  <c r="L12" i="5"/>
  <c r="H12" i="5"/>
  <c r="F12" i="5"/>
  <c r="E12" i="5"/>
  <c r="R10" i="5"/>
  <c r="Q10" i="5"/>
  <c r="P10" i="5"/>
  <c r="N10" i="5"/>
  <c r="L10" i="5"/>
  <c r="J10" i="5"/>
  <c r="H10" i="5"/>
  <c r="F10" i="5"/>
  <c r="R9" i="5"/>
  <c r="Q9" i="5"/>
  <c r="Q9" i="5" a="1"/>
  <c r="P9" i="5"/>
  <c r="N9" i="5"/>
  <c r="L9" i="5"/>
  <c r="J9" i="5"/>
  <c r="H9" i="5"/>
  <c r="F9" i="5"/>
  <c r="R8" i="5"/>
  <c r="Q8" i="5"/>
  <c r="Q8" i="5" a="1"/>
  <c r="P8" i="5"/>
  <c r="N8" i="5"/>
  <c r="L8" i="5"/>
  <c r="J8" i="5"/>
  <c r="H8" i="5"/>
  <c r="F8" i="5"/>
  <c r="R7" i="5"/>
  <c r="Q7" i="5"/>
  <c r="Q7" i="5" a="1"/>
  <c r="P7" i="5"/>
  <c r="N7" i="5"/>
  <c r="L7" i="5"/>
  <c r="J7" i="5"/>
  <c r="H7" i="5"/>
  <c r="F7" i="5"/>
  <c r="R6" i="5"/>
  <c r="Q6" i="5"/>
  <c r="Q6" i="5" a="1"/>
  <c r="P6" i="5"/>
  <c r="N6" i="5"/>
  <c r="L6" i="5"/>
  <c r="J6" i="5"/>
  <c r="H6" i="5"/>
  <c r="F6" i="5"/>
  <c r="R3" i="5"/>
  <c r="Q3" i="5"/>
  <c r="D11" i="4"/>
  <c r="C11" i="4"/>
  <c r="D10" i="4"/>
  <c r="D9" i="4"/>
  <c r="D8" i="4"/>
  <c r="D7" i="4"/>
  <c r="E33" i="3"/>
  <c r="D33" i="3"/>
  <c r="C33" i="3"/>
  <c r="F32" i="3"/>
  <c r="G32" i="3" s="1"/>
  <c r="G31" i="3"/>
  <c r="F31" i="3"/>
  <c r="G30" i="3"/>
  <c r="H30" i="3" s="1"/>
  <c r="C38" i="10" s="1"/>
  <c r="F30" i="3"/>
  <c r="G29" i="3"/>
  <c r="H29" i="3" s="1"/>
  <c r="C37" i="10" s="1"/>
  <c r="F29" i="3"/>
  <c r="H28" i="3"/>
  <c r="C36" i="10" s="1"/>
  <c r="G28" i="3"/>
  <c r="F28" i="3"/>
  <c r="G27" i="3"/>
  <c r="H27" i="3" s="1"/>
  <c r="C35" i="10" s="1"/>
  <c r="D35" i="10" s="1"/>
  <c r="F35" i="10" s="1"/>
  <c r="F27" i="3"/>
  <c r="F26" i="3"/>
  <c r="G26" i="3" s="1"/>
  <c r="F25" i="3"/>
  <c r="G25" i="3" s="1"/>
  <c r="F24" i="3"/>
  <c r="G24" i="3" s="1"/>
  <c r="G23" i="3"/>
  <c r="F23" i="3"/>
  <c r="F22" i="3"/>
  <c r="G22" i="3" s="1"/>
  <c r="F21" i="3"/>
  <c r="G21" i="3" s="1"/>
  <c r="F20" i="3"/>
  <c r="G20" i="3" s="1"/>
  <c r="G19" i="3"/>
  <c r="F19" i="3"/>
  <c r="F18" i="3"/>
  <c r="G18" i="3" s="1"/>
  <c r="F17" i="3"/>
  <c r="G17" i="3" s="1"/>
  <c r="F16" i="3"/>
  <c r="G16" i="3" s="1"/>
  <c r="G15" i="3"/>
  <c r="F15" i="3"/>
  <c r="F14" i="3"/>
  <c r="G14" i="3" s="1"/>
  <c r="F13" i="3"/>
  <c r="G13" i="3" s="1"/>
  <c r="F12" i="3"/>
  <c r="G12" i="3" s="1"/>
  <c r="G11" i="3"/>
  <c r="F11" i="3"/>
  <c r="F10" i="3"/>
  <c r="G10" i="3" s="1"/>
  <c r="F9" i="3"/>
  <c r="G9" i="3" s="1"/>
  <c r="F8" i="3"/>
  <c r="G8" i="3" s="1"/>
  <c r="G7" i="3"/>
  <c r="F7" i="3"/>
  <c r="O68" i="2"/>
  <c r="H63" i="2"/>
  <c r="J57" i="2"/>
  <c r="I56" i="2"/>
  <c r="J56" i="2" s="1"/>
  <c r="H56" i="2"/>
  <c r="K54" i="2"/>
  <c r="J54" i="2"/>
  <c r="Q53" i="2"/>
  <c r="K52" i="2"/>
  <c r="J52" i="2"/>
  <c r="Q51" i="2"/>
  <c r="O51" i="2"/>
  <c r="N51" i="2"/>
  <c r="K51" i="2"/>
  <c r="J51" i="2"/>
  <c r="Q50" i="2"/>
  <c r="N50" i="2"/>
  <c r="K50" i="2"/>
  <c r="J50" i="2"/>
  <c r="Q49" i="2"/>
  <c r="N49" i="2"/>
  <c r="K49" i="2"/>
  <c r="J49" i="2"/>
  <c r="Q48" i="2"/>
  <c r="N48" i="2"/>
  <c r="K48" i="2"/>
  <c r="J48" i="2"/>
  <c r="Q46" i="2"/>
  <c r="K45" i="2"/>
  <c r="J45" i="2"/>
  <c r="Q44" i="2"/>
  <c r="N44" i="2"/>
  <c r="K44" i="2"/>
  <c r="J44" i="2"/>
  <c r="Q43" i="2"/>
  <c r="N43" i="2"/>
  <c r="K43" i="2"/>
  <c r="J43" i="2"/>
  <c r="O41" i="2"/>
  <c r="Q41" i="2" s="1"/>
  <c r="N41" i="2"/>
  <c r="L41" i="2"/>
  <c r="L56" i="2" s="1"/>
  <c r="K41" i="2"/>
  <c r="J41" i="2"/>
  <c r="Q40" i="2"/>
  <c r="N40" i="2"/>
  <c r="K40" i="2"/>
  <c r="J40" i="2"/>
  <c r="Q39" i="2"/>
  <c r="N39" i="2"/>
  <c r="K39" i="2"/>
  <c r="J39" i="2"/>
  <c r="O38" i="2"/>
  <c r="Q38" i="2" s="1"/>
  <c r="N38" i="2"/>
  <c r="K38" i="2"/>
  <c r="J38" i="2"/>
  <c r="N35" i="2"/>
  <c r="L35" i="2"/>
  <c r="J35" i="2"/>
  <c r="H35" i="2"/>
  <c r="K35" i="2" s="1"/>
  <c r="Q33" i="2"/>
  <c r="N33" i="2"/>
  <c r="K33" i="2"/>
  <c r="J33" i="2"/>
  <c r="Q32" i="2"/>
  <c r="N32" i="2"/>
  <c r="K32" i="2"/>
  <c r="J32" i="2"/>
  <c r="O31" i="2"/>
  <c r="N31" i="2"/>
  <c r="K31" i="2"/>
  <c r="J31" i="2"/>
  <c r="O28" i="2"/>
  <c r="Q28" i="2" s="1"/>
  <c r="N28" i="2"/>
  <c r="L28" i="2"/>
  <c r="K28" i="2"/>
  <c r="J28" i="2"/>
  <c r="I28" i="2"/>
  <c r="H28" i="2"/>
  <c r="Q27" i="2"/>
  <c r="N27" i="2"/>
  <c r="K27" i="2"/>
  <c r="J27" i="2"/>
  <c r="Q26" i="2"/>
  <c r="N26" i="2"/>
  <c r="K26" i="2"/>
  <c r="J26" i="2"/>
  <c r="Q25" i="2"/>
  <c r="N25" i="2"/>
  <c r="K25" i="2"/>
  <c r="J25" i="2"/>
  <c r="Q24" i="2"/>
  <c r="N24" i="2"/>
  <c r="K24" i="2"/>
  <c r="J24" i="2"/>
  <c r="Q23" i="2"/>
  <c r="N23" i="2"/>
  <c r="K23" i="2"/>
  <c r="J23" i="2"/>
  <c r="Q22" i="2"/>
  <c r="N22" i="2"/>
  <c r="K22" i="2"/>
  <c r="J22" i="2"/>
  <c r="O19" i="2"/>
  <c r="L19" i="2"/>
  <c r="I19" i="2"/>
  <c r="H19" i="2"/>
  <c r="Q17" i="2"/>
  <c r="N17" i="2"/>
  <c r="K17" i="2"/>
  <c r="J17" i="2"/>
  <c r="Q16" i="2"/>
  <c r="N16" i="2"/>
  <c r="K16" i="2"/>
  <c r="J16" i="2"/>
  <c r="P8" i="2"/>
  <c r="P7" i="2"/>
  <c r="P6" i="2"/>
  <c r="P5" i="2"/>
  <c r="D28" i="11" l="1"/>
  <c r="H38" i="10"/>
  <c r="D32" i="11"/>
  <c r="D16" i="11"/>
  <c r="H18" i="10"/>
  <c r="H19" i="10"/>
  <c r="D24" i="11"/>
  <c r="H79" i="16"/>
  <c r="H87" i="16"/>
  <c r="H50" i="16"/>
  <c r="H53" i="16"/>
  <c r="H42" i="16"/>
  <c r="H13" i="16" s="1"/>
  <c r="I13" i="16" s="1"/>
  <c r="J13" i="16" s="1"/>
  <c r="H45" i="16"/>
  <c r="H48" i="16"/>
  <c r="H58" i="16"/>
  <c r="H61" i="16"/>
  <c r="H32" i="16" s="1"/>
  <c r="I32" i="16" s="1"/>
  <c r="J32" i="16" s="1"/>
  <c r="H38" i="16"/>
  <c r="H9" i="16" s="1"/>
  <c r="I9" i="16" s="1"/>
  <c r="J9" i="16" s="1"/>
  <c r="H41" i="16"/>
  <c r="H44" i="16"/>
  <c r="H54" i="16"/>
  <c r="H57" i="16"/>
  <c r="H60" i="16"/>
  <c r="H37" i="16"/>
  <c r="H40" i="16"/>
  <c r="H11" i="16" s="1"/>
  <c r="I11" i="16" s="1"/>
  <c r="J11" i="16" s="1"/>
  <c r="H56" i="16"/>
  <c r="H27" i="16" s="1"/>
  <c r="I27" i="16" s="1"/>
  <c r="J27" i="16" s="1"/>
  <c r="H36" i="16"/>
  <c r="H46" i="16"/>
  <c r="H17" i="16" s="1"/>
  <c r="I17" i="16" s="1"/>
  <c r="J17" i="16" s="1"/>
  <c r="H49" i="16"/>
  <c r="H52" i="16"/>
  <c r="H23" i="16" s="1"/>
  <c r="I23" i="16" s="1"/>
  <c r="J23" i="16" s="1"/>
  <c r="H21" i="16"/>
  <c r="I21" i="16" s="1"/>
  <c r="J21" i="16" s="1"/>
  <c r="H19" i="16"/>
  <c r="I19" i="16" s="1"/>
  <c r="J19" i="16" s="1"/>
  <c r="H15" i="16"/>
  <c r="I15" i="16" s="1"/>
  <c r="J15" i="16" s="1"/>
  <c r="H25" i="16"/>
  <c r="I25" i="16" s="1"/>
  <c r="J25" i="16" s="1"/>
  <c r="H31" i="16"/>
  <c r="I31" i="16" s="1"/>
  <c r="J31" i="16" s="1"/>
  <c r="H66" i="16"/>
  <c r="H68" i="16"/>
  <c r="H70" i="16"/>
  <c r="H12" i="16" s="1"/>
  <c r="I12" i="16" s="1"/>
  <c r="J12" i="16" s="1"/>
  <c r="H72" i="16"/>
  <c r="H74" i="16"/>
  <c r="H76" i="16"/>
  <c r="H78" i="16"/>
  <c r="H20" i="16" s="1"/>
  <c r="I20" i="16" s="1"/>
  <c r="H80" i="16"/>
  <c r="H82" i="16"/>
  <c r="H84" i="16"/>
  <c r="H86" i="16"/>
  <c r="H88" i="16"/>
  <c r="H30" i="16" s="1"/>
  <c r="I30" i="16" s="1"/>
  <c r="J30" i="16" s="1"/>
  <c r="H7" i="16"/>
  <c r="H39" i="16"/>
  <c r="H10" i="16" s="1"/>
  <c r="I10" i="16" s="1"/>
  <c r="J10" i="16" s="1"/>
  <c r="H43" i="16"/>
  <c r="H47" i="16"/>
  <c r="H51" i="16"/>
  <c r="H55" i="16"/>
  <c r="H26" i="16" s="1"/>
  <c r="I26" i="16" s="1"/>
  <c r="J26" i="16" s="1"/>
  <c r="H19" i="7"/>
  <c r="U19" i="7" s="1"/>
  <c r="V19" i="7" s="1"/>
  <c r="G33" i="10" s="1"/>
  <c r="V6" i="7"/>
  <c r="H42" i="7"/>
  <c r="H8" i="7" s="1"/>
  <c r="U8" i="7" s="1"/>
  <c r="V8" i="7" s="1"/>
  <c r="G20" i="10" s="1"/>
  <c r="H20" i="10" s="1"/>
  <c r="H46" i="7"/>
  <c r="H12" i="7" s="1"/>
  <c r="U12" i="7" s="1"/>
  <c r="V12" i="7" s="1"/>
  <c r="G25" i="10" s="1"/>
  <c r="H25" i="10" s="1"/>
  <c r="H50" i="7"/>
  <c r="H16" i="7" s="1"/>
  <c r="U16" i="7" s="1"/>
  <c r="V16" i="7" s="1"/>
  <c r="G30" i="10" s="1"/>
  <c r="H54" i="7"/>
  <c r="H20" i="7" s="1"/>
  <c r="U20" i="7" s="1"/>
  <c r="V20" i="7" s="1"/>
  <c r="G34" i="10" s="1"/>
  <c r="H34" i="10" s="1"/>
  <c r="H41" i="7"/>
  <c r="H7" i="7" s="1"/>
  <c r="U7" i="7" s="1"/>
  <c r="V7" i="7" s="1"/>
  <c r="G17" i="10" s="1"/>
  <c r="H17" i="10" s="1"/>
  <c r="H45" i="7"/>
  <c r="H11" i="7" s="1"/>
  <c r="U11" i="7" s="1"/>
  <c r="V11" i="7" s="1"/>
  <c r="G23" i="10" s="1"/>
  <c r="H49" i="7"/>
  <c r="H15" i="7" s="1"/>
  <c r="U15" i="7" s="1"/>
  <c r="V15" i="7" s="1"/>
  <c r="G28" i="10" s="1"/>
  <c r="F33" i="13"/>
  <c r="G21" i="13"/>
  <c r="G33" i="13" s="1"/>
  <c r="G36" i="13" s="1"/>
  <c r="G38" i="13"/>
  <c r="G33" i="3"/>
  <c r="F33" i="3"/>
  <c r="K19" i="2"/>
  <c r="O35" i="2"/>
  <c r="Q31" i="2"/>
  <c r="L58" i="2"/>
  <c r="Q19" i="2"/>
  <c r="N19" i="2"/>
  <c r="N56" i="2"/>
  <c r="M56" i="2"/>
  <c r="M28" i="2"/>
  <c r="I6" i="10"/>
  <c r="H24" i="10"/>
  <c r="H26" i="10"/>
  <c r="H29" i="10"/>
  <c r="H31" i="10"/>
  <c r="H33" i="10"/>
  <c r="H35" i="10"/>
  <c r="L35" i="10" s="1"/>
  <c r="D36" i="10"/>
  <c r="F36" i="10" s="1"/>
  <c r="L36" i="10" s="1"/>
  <c r="H39" i="10"/>
  <c r="D11" i="11"/>
  <c r="D15" i="11"/>
  <c r="D19" i="11"/>
  <c r="D23" i="11"/>
  <c r="D27" i="11"/>
  <c r="D31" i="11"/>
  <c r="D35" i="11"/>
  <c r="J19" i="2"/>
  <c r="K56" i="2"/>
  <c r="O56" i="2"/>
  <c r="C4" i="10"/>
  <c r="F7" i="10" s="1"/>
  <c r="H23" i="10"/>
  <c r="H28" i="10"/>
  <c r="H30" i="10"/>
  <c r="H32" i="10"/>
  <c r="H37" i="10"/>
  <c r="D38" i="10"/>
  <c r="F38" i="10" s="1"/>
  <c r="L38" i="10" s="1"/>
  <c r="H40" i="10"/>
  <c r="D13" i="11"/>
  <c r="D17" i="11"/>
  <c r="D21" i="11"/>
  <c r="D25" i="11"/>
  <c r="D29" i="11"/>
  <c r="D33" i="11"/>
  <c r="I58" i="2"/>
  <c r="H15" i="10"/>
  <c r="H21" i="10"/>
  <c r="H22" i="10"/>
  <c r="H27" i="10"/>
  <c r="D37" i="10"/>
  <c r="F37" i="10" s="1"/>
  <c r="D10" i="11"/>
  <c r="D14" i="11"/>
  <c r="D18" i="11"/>
  <c r="D22" i="11"/>
  <c r="D26" i="11"/>
  <c r="D30" i="11"/>
  <c r="D36" i="11" l="1"/>
  <c r="L37" i="10"/>
  <c r="F6" i="10"/>
  <c r="H22" i="16"/>
  <c r="I22" i="16" s="1"/>
  <c r="J22" i="16" s="1"/>
  <c r="H29" i="16"/>
  <c r="I29" i="16" s="1"/>
  <c r="H24" i="16"/>
  <c r="I24" i="16" s="1"/>
  <c r="H8" i="16"/>
  <c r="I8" i="16" s="1"/>
  <c r="H28" i="16"/>
  <c r="I28" i="16" s="1"/>
  <c r="J28" i="16" s="1"/>
  <c r="H16" i="16"/>
  <c r="I16" i="16" s="1"/>
  <c r="J16" i="16" s="1"/>
  <c r="H14" i="16"/>
  <c r="I14" i="16" s="1"/>
  <c r="H18" i="16"/>
  <c r="I18" i="16" s="1"/>
  <c r="J18" i="16" s="1"/>
  <c r="H91" i="16"/>
  <c r="I7" i="16"/>
  <c r="H62" i="16"/>
  <c r="H55" i="7"/>
  <c r="H21" i="7"/>
  <c r="U21" i="7"/>
  <c r="G16" i="10"/>
  <c r="V21" i="7"/>
  <c r="H25" i="3"/>
  <c r="C33" i="10" s="1"/>
  <c r="D33" i="10" s="1"/>
  <c r="F33" i="10" s="1"/>
  <c r="L33" i="10" s="1"/>
  <c r="H21" i="3"/>
  <c r="C29" i="10" s="1"/>
  <c r="D29" i="10" s="1"/>
  <c r="F29" i="10" s="1"/>
  <c r="L29" i="10" s="1"/>
  <c r="H17" i="3"/>
  <c r="C25" i="10" s="1"/>
  <c r="D25" i="10" s="1"/>
  <c r="F25" i="10" s="1"/>
  <c r="L25" i="10" s="1"/>
  <c r="H13" i="3"/>
  <c r="C21" i="10" s="1"/>
  <c r="D21" i="10" s="1"/>
  <c r="F21" i="10" s="1"/>
  <c r="L21" i="10" s="1"/>
  <c r="H9" i="3"/>
  <c r="C17" i="10" s="1"/>
  <c r="D17" i="10" s="1"/>
  <c r="F17" i="10" s="1"/>
  <c r="L17" i="10" s="1"/>
  <c r="H26" i="3"/>
  <c r="C34" i="10" s="1"/>
  <c r="D34" i="10" s="1"/>
  <c r="F34" i="10" s="1"/>
  <c r="L34" i="10" s="1"/>
  <c r="H22" i="3"/>
  <c r="C30" i="10" s="1"/>
  <c r="D30" i="10" s="1"/>
  <c r="F30" i="10" s="1"/>
  <c r="L30" i="10" s="1"/>
  <c r="H18" i="3"/>
  <c r="C26" i="10" s="1"/>
  <c r="D26" i="10" s="1"/>
  <c r="F26" i="10" s="1"/>
  <c r="L26" i="10" s="1"/>
  <c r="H14" i="3"/>
  <c r="C22" i="10" s="1"/>
  <c r="D22" i="10" s="1"/>
  <c r="F22" i="10" s="1"/>
  <c r="L22" i="10" s="1"/>
  <c r="H10" i="3"/>
  <c r="C18" i="10" s="1"/>
  <c r="D18" i="10" s="1"/>
  <c r="F18" i="10" s="1"/>
  <c r="L18" i="10" s="1"/>
  <c r="H31" i="3"/>
  <c r="C39" i="10" s="1"/>
  <c r="D39" i="10" s="1"/>
  <c r="F39" i="10" s="1"/>
  <c r="L39" i="10" s="1"/>
  <c r="H23" i="3"/>
  <c r="C31" i="10" s="1"/>
  <c r="D31" i="10" s="1"/>
  <c r="F31" i="10" s="1"/>
  <c r="L31" i="10" s="1"/>
  <c r="H19" i="3"/>
  <c r="C27" i="10" s="1"/>
  <c r="D27" i="10" s="1"/>
  <c r="F27" i="10" s="1"/>
  <c r="L27" i="10" s="1"/>
  <c r="H15" i="3"/>
  <c r="C23" i="10" s="1"/>
  <c r="D23" i="10" s="1"/>
  <c r="F23" i="10" s="1"/>
  <c r="L23" i="10" s="1"/>
  <c r="H11" i="3"/>
  <c r="C19" i="10" s="1"/>
  <c r="D19" i="10" s="1"/>
  <c r="F19" i="10" s="1"/>
  <c r="L19" i="10" s="1"/>
  <c r="H7" i="3"/>
  <c r="H32" i="3"/>
  <c r="C40" i="10" s="1"/>
  <c r="D40" i="10" s="1"/>
  <c r="F40" i="10" s="1"/>
  <c r="L40" i="10" s="1"/>
  <c r="H24" i="3"/>
  <c r="C32" i="10" s="1"/>
  <c r="D32" i="10" s="1"/>
  <c r="F32" i="10" s="1"/>
  <c r="L32" i="10" s="1"/>
  <c r="H20" i="3"/>
  <c r="C28" i="10" s="1"/>
  <c r="D28" i="10" s="1"/>
  <c r="F28" i="10" s="1"/>
  <c r="L28" i="10" s="1"/>
  <c r="H16" i="3"/>
  <c r="C24" i="10" s="1"/>
  <c r="D24" i="10" s="1"/>
  <c r="F24" i="10" s="1"/>
  <c r="L24" i="10" s="1"/>
  <c r="H12" i="3"/>
  <c r="C20" i="10" s="1"/>
  <c r="D20" i="10" s="1"/>
  <c r="F20" i="10" s="1"/>
  <c r="L20" i="10" s="1"/>
  <c r="H8" i="3"/>
  <c r="C16" i="10" s="1"/>
  <c r="D16" i="10" s="1"/>
  <c r="F16" i="10" s="1"/>
  <c r="Q56" i="2"/>
  <c r="L63" i="2"/>
  <c r="L57" i="2"/>
  <c r="N58" i="2"/>
  <c r="M58" i="2"/>
  <c r="M35" i="2"/>
  <c r="M19" i="2"/>
  <c r="I63" i="2"/>
  <c r="K58" i="2"/>
  <c r="J58" i="2"/>
  <c r="Q35" i="2"/>
  <c r="O58" i="2"/>
  <c r="F5" i="10"/>
  <c r="H33" i="16" l="1"/>
  <c r="I33" i="16"/>
  <c r="J7" i="16"/>
  <c r="J33" i="16" s="1"/>
  <c r="G41" i="10"/>
  <c r="H16" i="10"/>
  <c r="H41" i="10" s="1"/>
  <c r="C15" i="10"/>
  <c r="H33" i="3"/>
  <c r="J63" i="2"/>
  <c r="K63" i="2"/>
  <c r="M38" i="2"/>
  <c r="M33" i="2"/>
  <c r="M17" i="2"/>
  <c r="M50" i="2"/>
  <c r="M48" i="2"/>
  <c r="M43" i="2"/>
  <c r="M39" i="2"/>
  <c r="M31" i="2"/>
  <c r="M27" i="2"/>
  <c r="M25" i="2"/>
  <c r="M23" i="2"/>
  <c r="M32" i="2"/>
  <c r="M16" i="2"/>
  <c r="M51" i="2"/>
  <c r="M49" i="2"/>
  <c r="M40" i="2"/>
  <c r="M26" i="2"/>
  <c r="M22" i="2"/>
  <c r="M44" i="2"/>
  <c r="M24" i="2"/>
  <c r="P38" i="2"/>
  <c r="M41" i="2"/>
  <c r="N63" i="2"/>
  <c r="M63" i="2"/>
  <c r="O57" i="2"/>
  <c r="O63" i="2"/>
  <c r="Q58" i="2"/>
  <c r="L16" i="10" l="1"/>
  <c r="C41" i="10"/>
  <c r="D15" i="10"/>
  <c r="Q63" i="2"/>
  <c r="P63" i="2"/>
  <c r="P53" i="2"/>
  <c r="P34" i="2"/>
  <c r="P32" i="2"/>
  <c r="P18" i="2"/>
  <c r="P16" i="2"/>
  <c r="P33" i="2"/>
  <c r="P50" i="2"/>
  <c r="P49" i="2"/>
  <c r="P46" i="2"/>
  <c r="P44" i="2"/>
  <c r="P40" i="2"/>
  <c r="P26" i="2"/>
  <c r="P24" i="2"/>
  <c r="P22" i="2"/>
  <c r="P17" i="2"/>
  <c r="P48" i="2"/>
  <c r="P39" i="2"/>
  <c r="P25" i="2"/>
  <c r="P19" i="2"/>
  <c r="P43" i="2"/>
  <c r="P27" i="2"/>
  <c r="P23" i="2"/>
  <c r="P31" i="2"/>
  <c r="P41" i="2"/>
  <c r="P51" i="2"/>
  <c r="P28" i="2"/>
  <c r="P35" i="2"/>
  <c r="P56" i="2"/>
  <c r="P58" i="2" l="1"/>
  <c r="F15" i="10"/>
  <c r="D41" i="10"/>
  <c r="F41" i="10" l="1"/>
  <c r="L15" i="10"/>
  <c r="L41" i="10" s="1"/>
</calcChain>
</file>

<file path=xl/sharedStrings.xml><?xml version="1.0" encoding="utf-8"?>
<sst xmlns="http://schemas.openxmlformats.org/spreadsheetml/2006/main" count="1038" uniqueCount="307">
  <si>
    <t>Seznam tabulek:</t>
  </si>
  <si>
    <t>0.</t>
  </si>
  <si>
    <t>Seznam</t>
  </si>
  <si>
    <t>1.</t>
  </si>
  <si>
    <t>Bilance zdrojů</t>
  </si>
  <si>
    <t>2.</t>
  </si>
  <si>
    <t>Stanovení podílů fixní části</t>
  </si>
  <si>
    <t>3.</t>
  </si>
  <si>
    <t>Stanovení podílů segmentů</t>
  </si>
  <si>
    <t>3a.</t>
  </si>
  <si>
    <t>Výkonová část segment 1</t>
  </si>
  <si>
    <t>3b.</t>
  </si>
  <si>
    <t>Výkonová část segment 2</t>
  </si>
  <si>
    <t>3c.</t>
  </si>
  <si>
    <t>Výkonová část segment 3</t>
  </si>
  <si>
    <t>3d.</t>
  </si>
  <si>
    <t>Výkonová část segment 4</t>
  </si>
  <si>
    <t>5.</t>
  </si>
  <si>
    <t>Ukazatel C</t>
  </si>
  <si>
    <t>6.</t>
  </si>
  <si>
    <t>Ukazatel F - U3V</t>
  </si>
  <si>
    <t>7.</t>
  </si>
  <si>
    <t>Ukazatel F - SSP</t>
  </si>
  <si>
    <t>8.</t>
  </si>
  <si>
    <t>Ukazatel I</t>
  </si>
  <si>
    <t>9.</t>
  </si>
  <si>
    <t>Ukazatel J</t>
  </si>
  <si>
    <t>10.</t>
  </si>
  <si>
    <t>Ukazatel U</t>
  </si>
  <si>
    <t>Ukazatel D</t>
  </si>
  <si>
    <t>Rozpis rozpočtu vysokých škol na rok 2019</t>
  </si>
  <si>
    <t>Bilance zdrojů pro rozdělení příspěvku a dotací vysokým školám v roce 2019</t>
  </si>
  <si>
    <t>(Nezahrnuje dotace na programy reprodukce majetku)</t>
  </si>
  <si>
    <t>údaje v Kč</t>
  </si>
  <si>
    <t>Položka</t>
  </si>
  <si>
    <t>Rok 2016</t>
  </si>
  <si>
    <t>Rok 2017</t>
  </si>
  <si>
    <t>Rok 2018 **)</t>
  </si>
  <si>
    <t>meziroční změna</t>
  </si>
  <si>
    <t>Rok 2018</t>
  </si>
  <si>
    <t>Rok 2019</t>
  </si>
  <si>
    <t>Průměrný normativ</t>
  </si>
  <si>
    <t>x</t>
  </si>
  <si>
    <t>Výpočt. stip. v doktor. studiu (ročně)</t>
  </si>
  <si>
    <t>Základní normativ</t>
  </si>
  <si>
    <t>Výpočtové ubytovací stipendium (ročně)</t>
  </si>
  <si>
    <t xml:space="preserve">Normativ absolventa </t>
  </si>
  <si>
    <t>Sociální stipendium (měsíčně)</t>
  </si>
  <si>
    <t>Výpočtová dotace na 1  jídlo</t>
  </si>
  <si>
    <t>Příspěvek *)</t>
  </si>
  <si>
    <t>Dotace *)</t>
  </si>
  <si>
    <t>Název ukazatele / položky</t>
  </si>
  <si>
    <t>Rozpočet 2016</t>
  </si>
  <si>
    <t>Rozpočet 2017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</si>
  <si>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3)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</si>
  <si>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3 vs 2)</t>
    </r>
  </si>
  <si>
    <t>Rozpočet 2018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</si>
  <si>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6)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</si>
  <si>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6 vs 3)</t>
    </r>
  </si>
  <si>
    <t>Rozpočet 2019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</si>
  <si>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9)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</si>
  <si>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9 vs 6)</t>
    </r>
  </si>
  <si>
    <t>Rozpočtový okruh I, institucionální část rozpočtu</t>
  </si>
  <si>
    <t>P</t>
  </si>
  <si>
    <t>Ukazatel A -(fixní část)</t>
  </si>
  <si>
    <t>Ukazatel K - kvalita a výkon (výkonová část)</t>
  </si>
  <si>
    <t>Ukazatel P - společenské priority</t>
  </si>
  <si>
    <t>Celkem normativní část rozpočtu</t>
  </si>
  <si>
    <t>Rozpočtový okruh II, Sociální záležitosti studentů</t>
  </si>
  <si>
    <t>Ukazatel C - stipendia pro studenty doktorských stud. prog.</t>
  </si>
  <si>
    <t>D</t>
  </si>
  <si>
    <t>Ukazatel J - dotace na ubytování a stravování studentů</t>
  </si>
  <si>
    <t>Ukazatel S1 - příspěvek na sociální stipendia VVŠ</t>
  </si>
  <si>
    <t>Ukazatel U1- příspěvek na ubytovací stipendia VVŠ</t>
  </si>
  <si>
    <t>Celkem sociální záležitosti studentů</t>
  </si>
  <si>
    <t>Rozpočtový okruh III, Rozvoj vysokých škol</t>
  </si>
  <si>
    <t xml:space="preserve">Ukazatel I - rozvojové programy </t>
  </si>
  <si>
    <t>v tom</t>
  </si>
  <si>
    <t>Institucionální plány (dříve decentralizované)</t>
  </si>
  <si>
    <t>Centralizované rozvojové projekty</t>
  </si>
  <si>
    <t>Program digitalizace</t>
  </si>
  <si>
    <t>Celkem rozvoj vysokých škol</t>
  </si>
  <si>
    <t>Rozpočtový okruh IV, Mezinárodní spolupráce a ostatní</t>
  </si>
  <si>
    <t>Ukazatel D - mezinárodní spolupráce</t>
  </si>
  <si>
    <t>CEEPUS</t>
  </si>
  <si>
    <t>Podpora mezinárodní spolupráce</t>
  </si>
  <si>
    <t>Ukazatel F - Fond vzdělávací politiky</t>
  </si>
  <si>
    <t>V tom:</t>
  </si>
  <si>
    <t>Systémová podpora VŠ</t>
  </si>
  <si>
    <t>Studium studentů se specifickými potřebami</t>
  </si>
  <si>
    <t>Univerzita třetího věku (U3V)</t>
  </si>
  <si>
    <t>Registr uměleckých výstupů (RUV)</t>
  </si>
  <si>
    <t>Podpora umělecké tvůrčí činnosti</t>
  </si>
  <si>
    <t>Podpora VŠ - pozměňovací návrh PS</t>
  </si>
  <si>
    <t xml:space="preserve">Podpora pedagogických fakult/pedagogických studijních programů </t>
  </si>
  <si>
    <t>další</t>
  </si>
  <si>
    <t>Mimořádné přijímací řízení PF</t>
  </si>
  <si>
    <t>Rezerva na priority MŠMT</t>
  </si>
  <si>
    <t>Ukazatel M - mimořádné aktivity VŠ</t>
  </si>
  <si>
    <t>Celkem Mezinárodní spolupráce a ostatní</t>
  </si>
  <si>
    <t>Celkem příspěvek + dotace k rozpisu</t>
  </si>
  <si>
    <t>Převod rezervy OP VK provedený v r. 2015</t>
  </si>
  <si>
    <t>Navýšení výdajů na VŠ v rámci rozpočtu MŠMT</t>
  </si>
  <si>
    <t>Snížení částky k rozpisu o převod sekci VI</t>
  </si>
  <si>
    <t>Navýšení výdajů na VŠ na zajištění mimořádného přijímacího řízení PF v rámci rozpočtu MŠMT</t>
  </si>
  <si>
    <t>Ukazatel rozpočtu VŠ (zák. o státním rozpočtu)</t>
  </si>
  <si>
    <t>Členění rozpisu rozpočtu z pohledu struktury údajů státní pokladny</t>
  </si>
  <si>
    <t>Příspěvek celkem</t>
  </si>
  <si>
    <t>Dotace celkem</t>
  </si>
  <si>
    <t>Bude upřesněno v průběhu roku podle povahy schváleného výdaje fondu F</t>
  </si>
  <si>
    <t xml:space="preserve">*) </t>
  </si>
  <si>
    <t>V některých ukazatelích může být poskytnut příspěvek nebo dotace v závislosti na účelu, na který se poskytuje.</t>
  </si>
  <si>
    <t>**)</t>
  </si>
  <si>
    <t xml:space="preserve">Rozpočtový okruh I, institucionální část rozpočtu </t>
  </si>
  <si>
    <t>Kód VVŠ</t>
  </si>
  <si>
    <t>Název VVŠ</t>
  </si>
  <si>
    <t>Univerzita Karlova</t>
  </si>
  <si>
    <t>Jihočeská univerzita v Českých Budějovicích</t>
  </si>
  <si>
    <t>Univerzita Jana Evangelisty Purkyně v Ústí nad Labem</t>
  </si>
  <si>
    <t>Masarykova univerzita</t>
  </si>
  <si>
    <t>Univerzita Palackého v Olomouci</t>
  </si>
  <si>
    <t>Veterinární a farmaceutická univerzita Brno</t>
  </si>
  <si>
    <t>Ostravská univerzita</t>
  </si>
  <si>
    <t>Univerzita Hradec Králové</t>
  </si>
  <si>
    <t>Slezská univerzita v Opavě</t>
  </si>
  <si>
    <t>České vysoké učení technické v Praze</t>
  </si>
  <si>
    <t>Vysoká škola chemicko-technologická v Praze</t>
  </si>
  <si>
    <t>Západočeská univerzita v Plzni</t>
  </si>
  <si>
    <t>Technická univerzita v Liberci</t>
  </si>
  <si>
    <t>Univerzita Pardubice</t>
  </si>
  <si>
    <t>Vysoké učení technické v Brně</t>
  </si>
  <si>
    <t>Vysoká škola báňská - Technická univerzita Ostrava</t>
  </si>
  <si>
    <t>Univerzita Tomáše Bati ve Zlíně</t>
  </si>
  <si>
    <t>Vysoká škola ekonomická v Praze</t>
  </si>
  <si>
    <t>Česká zemědělská univerzita v Praze</t>
  </si>
  <si>
    <t>Mendelova univerzita v Brně</t>
  </si>
  <si>
    <t>Akademie múzických umění v Praze</t>
  </si>
  <si>
    <t>Akademie výtvarných umění v Praze</t>
  </si>
  <si>
    <t>Vysoká škola uměleckoprůmyslová v Praze</t>
  </si>
  <si>
    <t>Janáčkova akademie múzických umění v Brně</t>
  </si>
  <si>
    <t>Vysoká škola polytechnická Jihlava</t>
  </si>
  <si>
    <t>Vysoká škola technická a ekonomická v Českých Budějovicích</t>
  </si>
  <si>
    <t>Celkem</t>
  </si>
  <si>
    <t xml:space="preserve"> - stanovení podílů fixní části pro rok 2019</t>
  </si>
  <si>
    <t>Fixní část - 2018</t>
  </si>
  <si>
    <t>Podíl v %</t>
  </si>
  <si>
    <t>Částka</t>
  </si>
  <si>
    <t>Krácení finančních prostředků *)</t>
  </si>
  <si>
    <t>Částka po krácení</t>
  </si>
  <si>
    <t>Podíl na fixní části po krácení - 2018</t>
  </si>
  <si>
    <t>Úprava podílu fixní části na rok 2019 **)</t>
  </si>
  <si>
    <t>Úprava fixní části na rok 2019</t>
  </si>
  <si>
    <t>Váha jednotlivých segmentů</t>
  </si>
  <si>
    <t>Segment</t>
  </si>
  <si>
    <t>CELKEM</t>
  </si>
  <si>
    <t>Váha segmentu 2018</t>
  </si>
  <si>
    <t>Váha segmentu 2019</t>
  </si>
  <si>
    <t>Mezinárodní mobility</t>
  </si>
  <si>
    <t>Zaměstnanost abolventů</t>
  </si>
  <si>
    <t>VaV</t>
  </si>
  <si>
    <t>RUV</t>
  </si>
  <si>
    <t>Samoplátci</t>
  </si>
  <si>
    <t>Externí příjmy</t>
  </si>
  <si>
    <t>Váha parametru</t>
  </si>
  <si>
    <t>Vyslaní</t>
  </si>
  <si>
    <t>Přijatí</t>
  </si>
  <si>
    <t>Podíl</t>
  </si>
  <si>
    <t>Podíl v rámci segmentu</t>
  </si>
  <si>
    <t>Celkový podíl na výkonové části</t>
  </si>
  <si>
    <t>Zaměstnanost absolventů</t>
  </si>
  <si>
    <t>Graduation rate</t>
  </si>
  <si>
    <t>Výkonová část RO I - 2019 - Segment 2</t>
  </si>
  <si>
    <t>Výkonová část RO I - 2019 - Segment 1</t>
  </si>
  <si>
    <t>Jednotková výše stipendia - 10 měsíců v roce (Kč)</t>
  </si>
  <si>
    <t>měsíčně</t>
  </si>
  <si>
    <t>Jednotková výše stipendia (Kč)</t>
  </si>
  <si>
    <t>ročně</t>
  </si>
  <si>
    <t>údaje v Kć</t>
  </si>
  <si>
    <t>Počet stud. v DSPSP</t>
  </si>
  <si>
    <t xml:space="preserve">Výše příspěvku           v ukazateli </t>
  </si>
  <si>
    <t>vč. krácení dle čl. 10 odst. 7 Pravidel</t>
  </si>
  <si>
    <t>částka vyčleněná na RO I</t>
  </si>
  <si>
    <t>Kč</t>
  </si>
  <si>
    <t>Podíl na RO I</t>
  </si>
  <si>
    <t>RO I celkem</t>
  </si>
  <si>
    <t>Rozpočtový okruh I, institucionální část rozpočtu - celkový výpočet na rok 2019</t>
  </si>
  <si>
    <t xml:space="preserve">     v tom ukazatel A - fixní část</t>
  </si>
  <si>
    <t xml:space="preserve">     v tom ukazatel K - výkonová část </t>
  </si>
  <si>
    <t xml:space="preserve">     v tom ukazatel P - společenské priority</t>
  </si>
  <si>
    <t>Podíl na A + K</t>
  </si>
  <si>
    <t>Ukazatel A - fixní část</t>
  </si>
  <si>
    <t>Ukazatel K - výkonová část</t>
  </si>
  <si>
    <t>Lékařské fakulty</t>
  </si>
  <si>
    <t>Pedagogické fakulty</t>
  </si>
  <si>
    <t xml:space="preserve">                 v tom lékařské fakulty</t>
  </si>
  <si>
    <t xml:space="preserve">                 v tom pedagogické fakulty</t>
  </si>
  <si>
    <t>Výkonová část RO I - 2019 - Segment 4</t>
  </si>
  <si>
    <t>Výkonová část RO I - 2019 - Segment 3</t>
  </si>
  <si>
    <t>Ukazatel P - společenské priority - lékařské fakulty</t>
  </si>
  <si>
    <t>Název fakulty</t>
  </si>
  <si>
    <t>1. lékařská fakulta</t>
  </si>
  <si>
    <t>3. lékařská fakulta</t>
  </si>
  <si>
    <t>2. lékařská fakulta</t>
  </si>
  <si>
    <t>Lékařská fakulta v Plzni</t>
  </si>
  <si>
    <t>Lékařská fakulta v Hradci Králové</t>
  </si>
  <si>
    <t>Lékařská fakulta</t>
  </si>
  <si>
    <t>15% z předchozího sloupce</t>
  </si>
  <si>
    <t>a</t>
  </si>
  <si>
    <t>c</t>
  </si>
  <si>
    <t>d = b + c</t>
  </si>
  <si>
    <t xml:space="preserve">Finanční alokace </t>
  </si>
  <si>
    <t>f = e * 500 000 000</t>
  </si>
  <si>
    <t>Částka v Kč</t>
  </si>
  <si>
    <t>Pedagogická fakulta</t>
  </si>
  <si>
    <t>Fakulta př/hum a pedagogická</t>
  </si>
  <si>
    <t>Podíl na celku</t>
  </si>
  <si>
    <t>Objem na dorovnání v Kč</t>
  </si>
  <si>
    <t>Počet studentů k 31. 12.2017</t>
  </si>
  <si>
    <t>Ukazatel P - společenské priority - pedagogické fakulty</t>
  </si>
  <si>
    <t xml:space="preserve"> Dotace na ubytování a stravování studentů v roce 2019</t>
  </si>
  <si>
    <t xml:space="preserve">celkový počet vydaných jídel </t>
  </si>
  <si>
    <t>teplých</t>
  </si>
  <si>
    <t>studených</t>
  </si>
  <si>
    <t>stud. přepočt.</t>
  </si>
  <si>
    <t>celkem tep. + st. přep.</t>
  </si>
  <si>
    <t>Normativ na jedno hlavní jídlo (Kč)</t>
  </si>
  <si>
    <t>Roční příspěvek na stravování (Kč)</t>
  </si>
  <si>
    <t>Stipendia pro studenty doktorských studijních programů v roce 2019</t>
  </si>
  <si>
    <t>Dotace (Kč)</t>
  </si>
  <si>
    <t>Ukazatel U1 - veřejné vysoké školy</t>
  </si>
  <si>
    <t>Základní údaje</t>
  </si>
  <si>
    <t>Počet studentů splňujících podmínky VVŠ</t>
  </si>
  <si>
    <t>Počet studentů splňujících podmínky SVŠ</t>
  </si>
  <si>
    <t>Jednotková sazba (Kč)</t>
  </si>
  <si>
    <t>Výše příspěvku pro VVŠ (Kč)</t>
  </si>
  <si>
    <t>Maximální možná výše dotace pro SVŠ (Kč)</t>
  </si>
  <si>
    <t>Název VŠ</t>
  </si>
  <si>
    <t>Počet studentů</t>
  </si>
  <si>
    <t>výše příspěvku</t>
  </si>
  <si>
    <t>Celkem   V V Š</t>
  </si>
  <si>
    <t>Ubytovací stipendium v roce 2019</t>
  </si>
  <si>
    <t>Zdrojem počtu studentů s nárokem na ubytovací stipendium je SIMS k 31. 10. 2018</t>
  </si>
  <si>
    <t>Zdrojem dat o studentech s nárokem na doktroské stipendium je SIMS k 31. 10. 2018</t>
  </si>
  <si>
    <t>Orientační limit</t>
  </si>
  <si>
    <t>Rozvojové programy - Institucionální plány 2019</t>
  </si>
  <si>
    <t>4a.</t>
  </si>
  <si>
    <t>Společenské priority - LF</t>
  </si>
  <si>
    <t>4b.</t>
  </si>
  <si>
    <t>Společenské priority - PedF</t>
  </si>
  <si>
    <t>Rozpočtový okruh I</t>
  </si>
  <si>
    <t>11a.</t>
  </si>
  <si>
    <t>11b.</t>
  </si>
  <si>
    <t>b = a * 0,15</t>
  </si>
  <si>
    <t>Rok 2019 **)</t>
  </si>
  <si>
    <t>VVŠ</t>
  </si>
  <si>
    <t>Mobility - výjezdy</t>
  </si>
  <si>
    <t>Mobility - příjezdy</t>
  </si>
  <si>
    <t>C e l k e m</t>
  </si>
  <si>
    <t>Výše prostředků pro r. 2019</t>
  </si>
  <si>
    <t>Zdrojem dat jsou výstupy SIMS k 31. 10. 2018</t>
  </si>
  <si>
    <t>Podpora mezinárodní spolupráce v roce 2019</t>
  </si>
  <si>
    <t xml:space="preserve">Ukazatel F </t>
  </si>
  <si>
    <t>Celková částka podle rozpisu rozpočtu (Kč)</t>
  </si>
  <si>
    <t>Jednotková částka na jednu studentohodinu (Kč)</t>
  </si>
  <si>
    <t>Upravený nárok</t>
  </si>
  <si>
    <t>Počet účastníků U3V</t>
  </si>
  <si>
    <t>Počet studento- hodin</t>
  </si>
  <si>
    <t>Podpora financování nákladů souvisejících se vzděláváním seniorů prostřednictvím tzv. Univerzit třetího věku v roce 2019</t>
  </si>
  <si>
    <t>Ukazatel F</t>
  </si>
  <si>
    <t>Celková částka vyčleněná na studium SSP (Kč)</t>
  </si>
  <si>
    <t>Rozsah vykrytí kalkulovaných zvýšených nákladů (%)</t>
  </si>
  <si>
    <t>Počet studentů    se SP</t>
  </si>
  <si>
    <t>Kalkulované zvýšené náklady (Kč)</t>
  </si>
  <si>
    <t>Příspěvek na studium SSP    v r. 2019 
(v Kč)</t>
  </si>
  <si>
    <r>
      <t>e = d / ∑</t>
    </r>
    <r>
      <rPr>
        <sz val="9.35"/>
        <color theme="1"/>
        <rFont val="Arial"/>
        <family val="2"/>
        <charset val="238"/>
      </rPr>
      <t>d</t>
    </r>
  </si>
  <si>
    <t>Kompenzace UVVŠ **)</t>
  </si>
  <si>
    <t>Cizinci (A( + VP)</t>
  </si>
  <si>
    <t>Cizinci (AP + VP)</t>
  </si>
  <si>
    <t>Výše mzd. prostředků za rok 2017 z kap. 333 v tis. Kč</t>
  </si>
  <si>
    <t>Počet absolventů 1.1.2015-31.12.2017</t>
  </si>
  <si>
    <t>Počty aktivních studentů v kategorii M1 (první ročník) SP M 5103 vyuč. v českém jazyce (s vyloučením jinoplátců a KSP) k 31. 10.</t>
  </si>
  <si>
    <t>Počet studentů SP M5103 studujících v českém jazyce (s vyloučením jinoplátců a KSP) k 31. 10.</t>
  </si>
  <si>
    <t>Počet studentů SP M5103 studujících v českém jazyce (bez jinoplátců a KSP) po navýšení</t>
  </si>
  <si>
    <t>Alokace pro rok 2018</t>
  </si>
  <si>
    <t>Průměrná mzda akadem. pracovníka za rok 2017 z kap. 333</t>
  </si>
  <si>
    <t>Přepočtený počet akad. pracovníků hrazených z kap. 333 za rok 2017</t>
  </si>
  <si>
    <t>*) Finanční prostředky kráceny uplatněním čl. 10 odst. 7 Pravidel pro rok 2018</t>
  </si>
  <si>
    <t>*) Finanční prostředky kráceny uplatněním čl. 10 odst. 7 Pravidel</t>
  </si>
  <si>
    <t>**) Kompenzace disproporce mezi nárůstem prostředků na dlouhodobý koncepční rozvoj výzumných organizací u UVVŠ a ostatních VVŠ dle čl. 14 odst. 2 Pravidel. Finanční prostředky ve výši 29 810 000 Kč dokryty z RO IV.</t>
  </si>
  <si>
    <t>Specifický přístup k UVVŠ dle čl. 14 odst. 2</t>
  </si>
  <si>
    <t>Rok 2017 **)</t>
  </si>
  <si>
    <t xml:space="preserve">Vzhledem ke změně metodiky výpočtu Rozpočtového okruhu I (RO I) je hodnota průměrného normativu pro rok 2019, resp. roky 2018 a 2017 stanovena jako podíl prostředků v ukazatelích A+K a celkového počtu normativních studentů k 31. 10. 2018, resp. k 31. 10. roku 2017 a 2016. Do roku 2015 se jednalo o podíl prostředků v RO I a započteného počtu financovaných normativních studentů, pro rok  2016 o podíl prostředků v RO I a počtu financovaných normativních studentů, odvozeného z roku 2015. </t>
  </si>
  <si>
    <t>Zdrojem dat je statistický výstup MŠMT P1b-04 za rok 2017 a výstupy ze SIMS k 31. 10. 2018</t>
  </si>
  <si>
    <t>**) Změna podílů způsobena krácením finančních prostředků ve fixní části pro rok 2018 (netýká se UVVŠ).</t>
  </si>
  <si>
    <t>Rezerva na navýš. RO I dle čl. 10 odst. 7 Pravidel pro rok 2018, resp. dle čl. 14 odst. 2 Pravidel pro rok 2019</t>
  </si>
  <si>
    <t>Podpora financování zvýšených nákladů souvisejících se studiem studentů se specifickými potřebami v roce 2019</t>
  </si>
  <si>
    <r>
      <rPr>
        <b/>
        <sz val="10"/>
        <color theme="1"/>
        <rFont val="Calibri"/>
        <family val="2"/>
        <charset val="238"/>
        <scheme val="minor"/>
      </rPr>
      <t xml:space="preserve">Pro rok 2018 </t>
    </r>
    <r>
      <rPr>
        <sz val="10"/>
        <color theme="1"/>
        <rFont val="Calibri"/>
        <family val="2"/>
        <charset val="238"/>
        <scheme val="minor"/>
      </rPr>
      <t xml:space="preserve">byly uplatněné </t>
    </r>
    <r>
      <rPr>
        <b/>
        <sz val="10"/>
        <color theme="1"/>
        <rFont val="Calibri"/>
        <family val="2"/>
        <charset val="238"/>
        <scheme val="minor"/>
      </rPr>
      <t>nároky vykryty ve výši 88,7 %.</t>
    </r>
  </si>
  <si>
    <t xml:space="preserve">Příspěvek na U3V na r. 2019
</t>
  </si>
  <si>
    <t>Částka v rozpisu rozpočtu na rok 2019 (Kč)</t>
  </si>
  <si>
    <t>Rezerva na žádosti dle čl. 16 Pravidel (Kč)</t>
  </si>
  <si>
    <t xml:space="preserve"> - stanovení velikosti podílů segmentů na výkonové části pro rok 2019</t>
  </si>
  <si>
    <t>***)</t>
  </si>
  <si>
    <t>Částky rozpočtu roku 2019 stanovené odborným odhadem - v průběhu roku budou upřesňovány na základě aktuálních údajů.</t>
  </si>
  <si>
    <t>Ukazatel S2 - dotace na sociální stipendia SVŠ ***)</t>
  </si>
  <si>
    <t>Ukazatel U2 - dotace na ubytovací stipendia SVŠ ***)</t>
  </si>
  <si>
    <t>Soukromé VŠ ***)</t>
  </si>
  <si>
    <t>Univerzita obrany ***)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</si>
</sst>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Kč&quot;;[Red]\-#,##0\ &quot;Kč&quot;"/>
    <numFmt numFmtId="8" formatCode="#,##0.00\ &quot;Kč&quot;;[Red]\-#,##0.00\ &quot;Kč&quot;"/>
    <numFmt numFmtId="164" formatCode="0.0%"/>
    <numFmt numFmtId="165" formatCode="#,##0\ &quot;Kč&quot;"/>
    <numFmt numFmtId="166" formatCode="#,##0.00\ &quot;Kč&quot;"/>
    <numFmt numFmtId="167" formatCode="0.0"/>
    <numFmt numFmtId="168" formatCode="0.000%"/>
    <numFmt numFmtId="169" formatCode="#,##0.0"/>
    <numFmt numFmtId="170" formatCode="#,##0.00_ ;[Red]\-#,##0.00\ "/>
  </numFmts>
  <fonts count="6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sz val="22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Times New Roman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i/>
      <sz val="11"/>
      <name val="Arial"/>
      <family val="2"/>
      <charset val="238"/>
    </font>
    <font>
      <b/>
      <i/>
      <sz val="11"/>
      <color rgb="FF808080"/>
      <name val="Arial"/>
      <family val="2"/>
      <charset val="238"/>
    </font>
    <font>
      <i/>
      <sz val="11"/>
      <color indexed="23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808080"/>
      <name val="Arial"/>
      <family val="2"/>
      <charset val="238"/>
    </font>
    <font>
      <b/>
      <i/>
      <sz val="12"/>
      <color rgb="FF80808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name val="Arial"/>
      <family val="2"/>
      <charset val="238"/>
    </font>
    <font>
      <b/>
      <sz val="15"/>
      <name val="Arial"/>
      <family val="2"/>
      <charset val="238"/>
    </font>
    <font>
      <b/>
      <sz val="2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22"/>
      <name val="Calibri"/>
      <family val="2"/>
      <charset val="238"/>
      <scheme val="minor"/>
    </font>
    <font>
      <sz val="13.5"/>
      <color theme="1"/>
      <name val="Calibri"/>
      <family val="2"/>
      <charset val="238"/>
      <scheme val="minor"/>
    </font>
    <font>
      <sz val="11"/>
      <name val="Times New Roman CE"/>
      <family val="1"/>
      <charset val="238"/>
    </font>
    <font>
      <b/>
      <sz val="16"/>
      <color indexed="8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22"/>
      <color indexed="8"/>
      <name val="Arial"/>
      <family val="2"/>
      <charset val="238"/>
    </font>
    <font>
      <b/>
      <sz val="15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22"/>
      <color rgb="FFFF000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.35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theme="9" tint="-0.499984740745262"/>
      </right>
      <top style="medium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theme="9" tint="-0.499984740745262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9" tint="-0.499984740745262"/>
      </right>
      <top/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indexed="64"/>
      </bottom>
      <diagonal/>
    </border>
    <border>
      <left style="medium">
        <color theme="9" tint="-0.49998474074526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theme="1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thin">
        <color indexed="64"/>
      </bottom>
      <diagonal/>
    </border>
    <border>
      <left style="medium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3" fillId="0" borderId="0" applyFont="0"/>
    <xf numFmtId="0" fontId="8" fillId="0" borderId="0"/>
    <xf numFmtId="0" fontId="13" fillId="0" borderId="0"/>
    <xf numFmtId="0" fontId="7" fillId="0" borderId="0"/>
    <xf numFmtId="0" fontId="7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45" fillId="0" borderId="0"/>
    <xf numFmtId="0" fontId="52" fillId="0" borderId="0" applyNumberFormat="0" applyFill="0" applyBorder="0" applyAlignment="0" applyProtection="0"/>
  </cellStyleXfs>
  <cellXfs count="1123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0" fillId="0" borderId="0" xfId="0"/>
    <xf numFmtId="0" fontId="9" fillId="2" borderId="0" xfId="3" applyFont="1" applyFill="1" applyAlignment="1">
      <alignment horizontal="left" vertical="center"/>
    </xf>
    <xf numFmtId="0" fontId="9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0" fillId="2" borderId="0" xfId="3" applyFont="1" applyFill="1" applyBorder="1" applyAlignment="1">
      <alignment vertical="center"/>
    </xf>
    <xf numFmtId="164" fontId="10" fillId="2" borderId="0" xfId="3" applyNumberFormat="1" applyFont="1" applyFill="1" applyBorder="1" applyAlignment="1">
      <alignment horizontal="right" vertical="center"/>
    </xf>
    <xf numFmtId="164" fontId="10" fillId="2" borderId="0" xfId="3" applyNumberFormat="1" applyFont="1" applyFill="1" applyAlignment="1">
      <alignment vertical="center"/>
    </xf>
    <xf numFmtId="0" fontId="10" fillId="2" borderId="0" xfId="3" applyFont="1" applyFill="1" applyAlignment="1">
      <alignment horizontal="right" vertical="center"/>
    </xf>
    <xf numFmtId="0" fontId="0" fillId="2" borderId="0" xfId="0" applyFill="1"/>
    <xf numFmtId="0" fontId="11" fillId="2" borderId="2" xfId="3" applyFont="1" applyFill="1" applyBorder="1" applyAlignment="1">
      <alignment horizontal="center" vertical="center" wrapText="1"/>
    </xf>
    <xf numFmtId="0" fontId="11" fillId="2" borderId="3" xfId="3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2" fillId="2" borderId="4" xfId="3" applyFont="1" applyFill="1" applyBorder="1" applyAlignment="1">
      <alignment horizontal="center" vertical="center" wrapText="1"/>
    </xf>
    <xf numFmtId="0" fontId="12" fillId="2" borderId="7" xfId="3" applyFont="1" applyFill="1" applyBorder="1" applyAlignment="1">
      <alignment horizontal="center" vertical="center" wrapText="1"/>
    </xf>
    <xf numFmtId="3" fontId="9" fillId="2" borderId="11" xfId="3" applyNumberFormat="1" applyFont="1" applyFill="1" applyBorder="1" applyAlignment="1">
      <alignment horizontal="center" vertical="center" wrapText="1"/>
    </xf>
    <xf numFmtId="3" fontId="9" fillId="2" borderId="12" xfId="3" applyNumberFormat="1" applyFont="1" applyFill="1" applyBorder="1" applyAlignment="1">
      <alignment horizontal="center" vertical="center" wrapText="1"/>
    </xf>
    <xf numFmtId="3" fontId="9" fillId="0" borderId="11" xfId="3" applyNumberFormat="1" applyFont="1" applyFill="1" applyBorder="1" applyAlignment="1">
      <alignment horizontal="center" vertical="center"/>
    </xf>
    <xf numFmtId="10" fontId="10" fillId="2" borderId="13" xfId="3" applyNumberFormat="1" applyFont="1" applyFill="1" applyBorder="1" applyAlignment="1">
      <alignment horizontal="center" vertical="center"/>
    </xf>
    <xf numFmtId="6" fontId="9" fillId="2" borderId="15" xfId="3" applyNumberFormat="1" applyFont="1" applyFill="1" applyBorder="1" applyAlignment="1">
      <alignment horizontal="center" vertical="center"/>
    </xf>
    <xf numFmtId="165" fontId="9" fillId="3" borderId="12" xfId="3" applyNumberFormat="1" applyFont="1" applyFill="1" applyBorder="1" applyAlignment="1">
      <alignment horizontal="center" vertical="center"/>
    </xf>
    <xf numFmtId="10" fontId="10" fillId="2" borderId="16" xfId="3" applyNumberFormat="1" applyFont="1" applyFill="1" applyBorder="1" applyAlignment="1">
      <alignment horizontal="center" vertical="center"/>
    </xf>
    <xf numFmtId="3" fontId="9" fillId="2" borderId="20" xfId="3" applyNumberFormat="1" applyFont="1" applyFill="1" applyBorder="1" applyAlignment="1">
      <alignment horizontal="center" vertical="center" wrapText="1"/>
    </xf>
    <xf numFmtId="3" fontId="9" fillId="2" borderId="21" xfId="3" applyNumberFormat="1" applyFont="1" applyFill="1" applyBorder="1" applyAlignment="1">
      <alignment horizontal="center" vertical="center" wrapText="1"/>
    </xf>
    <xf numFmtId="3" fontId="9" fillId="0" borderId="20" xfId="3" applyNumberFormat="1" applyFont="1" applyFill="1" applyBorder="1" applyAlignment="1">
      <alignment horizontal="center" vertical="center"/>
    </xf>
    <xf numFmtId="3" fontId="9" fillId="3" borderId="20" xfId="3" applyNumberFormat="1" applyFont="1" applyFill="1" applyBorder="1" applyAlignment="1">
      <alignment horizontal="center" vertical="center"/>
    </xf>
    <xf numFmtId="10" fontId="10" fillId="2" borderId="22" xfId="3" applyNumberFormat="1" applyFont="1" applyFill="1" applyBorder="1" applyAlignment="1">
      <alignment horizontal="center" vertical="center"/>
    </xf>
    <xf numFmtId="165" fontId="9" fillId="3" borderId="24" xfId="3" applyNumberFormat="1" applyFont="1" applyFill="1" applyBorder="1" applyAlignment="1">
      <alignment horizontal="center" vertical="center"/>
    </xf>
    <xf numFmtId="3" fontId="9" fillId="2" borderId="26" xfId="3" applyNumberFormat="1" applyFont="1" applyFill="1" applyBorder="1" applyAlignment="1">
      <alignment horizontal="center" vertical="center" wrapText="1"/>
    </xf>
    <xf numFmtId="3" fontId="9" fillId="2" borderId="27" xfId="3" applyNumberFormat="1" applyFont="1" applyFill="1" applyBorder="1" applyAlignment="1">
      <alignment horizontal="center" vertical="center" wrapText="1"/>
    </xf>
    <xf numFmtId="3" fontId="9" fillId="0" borderId="26" xfId="3" applyNumberFormat="1" applyFont="1" applyFill="1" applyBorder="1" applyAlignment="1">
      <alignment horizontal="center" vertical="center"/>
    </xf>
    <xf numFmtId="3" fontId="9" fillId="3" borderId="26" xfId="3" applyNumberFormat="1" applyFont="1" applyFill="1" applyBorder="1" applyAlignment="1">
      <alignment horizontal="center" vertical="center"/>
    </xf>
    <xf numFmtId="3" fontId="9" fillId="0" borderId="28" xfId="3" applyNumberFormat="1" applyFont="1" applyFill="1" applyBorder="1" applyAlignment="1">
      <alignment horizontal="center" vertical="center"/>
    </xf>
    <xf numFmtId="0" fontId="10" fillId="2" borderId="0" xfId="3" applyFont="1" applyFill="1" applyBorder="1" applyAlignment="1">
      <alignment horizontal="center" vertical="center"/>
    </xf>
    <xf numFmtId="8" fontId="9" fillId="2" borderId="26" xfId="3" applyNumberFormat="1" applyFont="1" applyFill="1" applyBorder="1" applyAlignment="1">
      <alignment horizontal="center" vertical="center"/>
    </xf>
    <xf numFmtId="166" fontId="9" fillId="3" borderId="27" xfId="3" applyNumberFormat="1" applyFont="1" applyFill="1" applyBorder="1" applyAlignment="1">
      <alignment horizontal="center" vertical="center"/>
    </xf>
    <xf numFmtId="10" fontId="10" fillId="2" borderId="29" xfId="3" applyNumberFormat="1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left" vertical="center" wrapText="1"/>
    </xf>
    <xf numFmtId="1" fontId="9" fillId="0" borderId="1" xfId="3" applyNumberFormat="1" applyFont="1" applyFill="1" applyBorder="1" applyAlignment="1">
      <alignment horizontal="center" vertical="center"/>
    </xf>
    <xf numFmtId="1" fontId="9" fillId="0" borderId="2" xfId="3" applyNumberFormat="1" applyFont="1" applyFill="1" applyBorder="1" applyAlignment="1">
      <alignment horizontal="center" vertical="center"/>
    </xf>
    <xf numFmtId="1" fontId="9" fillId="0" borderId="51" xfId="3" applyNumberFormat="1" applyFont="1" applyFill="1" applyBorder="1" applyAlignment="1">
      <alignment horizontal="center" vertical="center"/>
    </xf>
    <xf numFmtId="1" fontId="15" fillId="0" borderId="50" xfId="3" applyNumberFormat="1" applyFont="1" applyFill="1" applyBorder="1" applyAlignment="1">
      <alignment horizontal="center" vertical="center"/>
    </xf>
    <xf numFmtId="1" fontId="15" fillId="0" borderId="58" xfId="3" applyNumberFormat="1" applyFont="1" applyFill="1" applyBorder="1" applyAlignment="1">
      <alignment horizontal="center" vertical="center"/>
    </xf>
    <xf numFmtId="1" fontId="17" fillId="4" borderId="53" xfId="3" applyNumberFormat="1" applyFont="1" applyFill="1" applyBorder="1" applyAlignment="1">
      <alignment horizontal="center" vertical="center"/>
    </xf>
    <xf numFmtId="1" fontId="15" fillId="0" borderId="55" xfId="3" applyNumberFormat="1" applyFont="1" applyFill="1" applyBorder="1" applyAlignment="1">
      <alignment horizontal="center" vertical="center"/>
    </xf>
    <xf numFmtId="1" fontId="17" fillId="3" borderId="56" xfId="3" applyNumberFormat="1" applyFont="1" applyFill="1" applyBorder="1" applyAlignment="1">
      <alignment horizontal="center" vertical="center"/>
    </xf>
    <xf numFmtId="0" fontId="14" fillId="2" borderId="40" xfId="3" applyFont="1" applyFill="1" applyBorder="1" applyAlignment="1">
      <alignment vertical="center"/>
    </xf>
    <xf numFmtId="0" fontId="14" fillId="2" borderId="0" xfId="3" applyFont="1" applyFill="1" applyBorder="1" applyAlignment="1">
      <alignment vertical="center"/>
    </xf>
    <xf numFmtId="0" fontId="18" fillId="2" borderId="0" xfId="3" applyFont="1" applyFill="1" applyBorder="1" applyAlignment="1">
      <alignment vertical="center"/>
    </xf>
    <xf numFmtId="3" fontId="14" fillId="2" borderId="0" xfId="3" applyNumberFormat="1" applyFont="1" applyFill="1" applyBorder="1" applyAlignment="1">
      <alignment horizontal="center" vertical="center"/>
    </xf>
    <xf numFmtId="10" fontId="19" fillId="2" borderId="0" xfId="3" applyNumberFormat="1" applyFont="1" applyFill="1" applyBorder="1" applyAlignment="1">
      <alignment horizontal="center" vertical="center"/>
    </xf>
    <xf numFmtId="0" fontId="19" fillId="2" borderId="0" xfId="3" applyFont="1" applyFill="1" applyBorder="1" applyAlignment="1">
      <alignment vertical="center"/>
    </xf>
    <xf numFmtId="3" fontId="20" fillId="4" borderId="44" xfId="3" applyNumberFormat="1" applyFont="1" applyFill="1" applyBorder="1" applyAlignment="1">
      <alignment horizontal="center" vertical="center"/>
    </xf>
    <xf numFmtId="0" fontId="19" fillId="2" borderId="59" xfId="3" applyFont="1" applyFill="1" applyBorder="1" applyAlignment="1">
      <alignment vertical="center"/>
    </xf>
    <xf numFmtId="3" fontId="20" fillId="3" borderId="47" xfId="3" applyNumberFormat="1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vertical="center"/>
    </xf>
    <xf numFmtId="3" fontId="22" fillId="4" borderId="44" xfId="3" applyNumberFormat="1" applyFont="1" applyFill="1" applyBorder="1" applyAlignment="1">
      <alignment horizontal="center" vertical="center"/>
    </xf>
    <xf numFmtId="3" fontId="22" fillId="3" borderId="47" xfId="3" applyNumberFormat="1" applyFont="1" applyFill="1" applyBorder="1" applyAlignment="1">
      <alignment horizontal="center" vertical="center"/>
    </xf>
    <xf numFmtId="0" fontId="14" fillId="2" borderId="14" xfId="3" applyFont="1" applyFill="1" applyBorder="1" applyAlignment="1">
      <alignment vertical="center"/>
    </xf>
    <xf numFmtId="0" fontId="14" fillId="2" borderId="11" xfId="3" applyFont="1" applyFill="1" applyBorder="1" applyAlignment="1">
      <alignment vertical="center"/>
    </xf>
    <xf numFmtId="3" fontId="10" fillId="2" borderId="6" xfId="3" applyNumberFormat="1" applyFont="1" applyFill="1" applyBorder="1" applyAlignment="1">
      <alignment vertical="center"/>
    </xf>
    <xf numFmtId="164" fontId="19" fillId="2" borderId="33" xfId="3" applyNumberFormat="1" applyFont="1" applyFill="1" applyBorder="1" applyAlignment="1">
      <alignment vertical="center"/>
    </xf>
    <xf numFmtId="164" fontId="19" fillId="2" borderId="30" xfId="3" applyNumberFormat="1" applyFont="1" applyFill="1" applyBorder="1" applyAlignment="1">
      <alignment vertical="center"/>
    </xf>
    <xf numFmtId="3" fontId="23" fillId="4" borderId="60" xfId="3" applyNumberFormat="1" applyFont="1" applyFill="1" applyBorder="1" applyAlignment="1">
      <alignment vertical="center"/>
    </xf>
    <xf numFmtId="164" fontId="19" fillId="2" borderId="7" xfId="3" applyNumberFormat="1" applyFont="1" applyFill="1" applyBorder="1" applyAlignment="1">
      <alignment vertical="center"/>
    </xf>
    <xf numFmtId="3" fontId="23" fillId="3" borderId="61" xfId="3" applyNumberFormat="1" applyFont="1" applyFill="1" applyBorder="1" applyAlignment="1">
      <alignment vertical="center"/>
    </xf>
    <xf numFmtId="0" fontId="14" fillId="2" borderId="62" xfId="3" applyFont="1" applyFill="1" applyBorder="1" applyAlignment="1">
      <alignment vertical="center"/>
    </xf>
    <xf numFmtId="0" fontId="14" fillId="2" borderId="63" xfId="3" applyFont="1" applyFill="1" applyBorder="1" applyAlignment="1">
      <alignment vertical="center" wrapText="1"/>
    </xf>
    <xf numFmtId="3" fontId="10" fillId="2" borderId="63" xfId="3" applyNumberFormat="1" applyFont="1" applyFill="1" applyBorder="1" applyAlignment="1">
      <alignment vertical="center"/>
    </xf>
    <xf numFmtId="164" fontId="19" fillId="2" borderId="66" xfId="3" applyNumberFormat="1" applyFont="1" applyFill="1" applyBorder="1" applyAlignment="1">
      <alignment vertical="center"/>
    </xf>
    <xf numFmtId="164" fontId="19" fillId="2" borderId="64" xfId="3" applyNumberFormat="1" applyFont="1" applyFill="1" applyBorder="1" applyAlignment="1">
      <alignment horizontal="right" vertical="center"/>
    </xf>
    <xf numFmtId="3" fontId="23" fillId="4" borderId="67" xfId="3" applyNumberFormat="1" applyFont="1" applyFill="1" applyBorder="1" applyAlignment="1">
      <alignment vertical="center"/>
    </xf>
    <xf numFmtId="164" fontId="19" fillId="2" borderId="68" xfId="3" applyNumberFormat="1" applyFont="1" applyFill="1" applyBorder="1" applyAlignment="1">
      <alignment horizontal="right" vertical="center"/>
    </xf>
    <xf numFmtId="3" fontId="23" fillId="3" borderId="69" xfId="3" applyNumberFormat="1" applyFont="1" applyFill="1" applyBorder="1" applyAlignment="1">
      <alignment vertical="center"/>
    </xf>
    <xf numFmtId="0" fontId="14" fillId="2" borderId="25" xfId="3" applyFont="1" applyFill="1" applyBorder="1" applyAlignment="1">
      <alignment vertical="center"/>
    </xf>
    <xf numFmtId="0" fontId="14" fillId="2" borderId="26" xfId="3" applyFont="1" applyFill="1" applyBorder="1" applyAlignment="1">
      <alignment vertical="center" wrapText="1"/>
    </xf>
    <xf numFmtId="0" fontId="10" fillId="0" borderId="27" xfId="3" applyFont="1" applyFill="1" applyBorder="1" applyAlignment="1">
      <alignment horizontal="left" vertical="center"/>
    </xf>
    <xf numFmtId="0" fontId="10" fillId="0" borderId="70" xfId="3" applyFont="1" applyFill="1" applyBorder="1" applyAlignment="1">
      <alignment horizontal="left" vertical="center"/>
    </xf>
    <xf numFmtId="3" fontId="10" fillId="2" borderId="26" xfId="3" applyNumberFormat="1" applyFont="1" applyFill="1" applyBorder="1" applyAlignment="1">
      <alignment vertical="center"/>
    </xf>
    <xf numFmtId="164" fontId="19" fillId="2" borderId="71" xfId="3" applyNumberFormat="1" applyFont="1" applyFill="1" applyBorder="1" applyAlignment="1">
      <alignment vertical="center"/>
    </xf>
    <xf numFmtId="164" fontId="19" fillId="2" borderId="27" xfId="3" applyNumberFormat="1" applyFont="1" applyFill="1" applyBorder="1" applyAlignment="1">
      <alignment horizontal="right" vertical="center"/>
    </xf>
    <xf numFmtId="3" fontId="23" fillId="4" borderId="72" xfId="3" applyNumberFormat="1" applyFont="1" applyFill="1" applyBorder="1" applyAlignment="1">
      <alignment vertical="center"/>
    </xf>
    <xf numFmtId="164" fontId="19" fillId="2" borderId="29" xfId="3" applyNumberFormat="1" applyFont="1" applyFill="1" applyBorder="1" applyAlignment="1">
      <alignment horizontal="right" vertical="center"/>
    </xf>
    <xf numFmtId="3" fontId="23" fillId="3" borderId="73" xfId="3" applyNumberFormat="1" applyFont="1" applyFill="1" applyBorder="1" applyAlignment="1">
      <alignment vertical="center"/>
    </xf>
    <xf numFmtId="0" fontId="24" fillId="2" borderId="74" xfId="3" applyFont="1" applyFill="1" applyBorder="1" applyAlignment="1">
      <alignment vertical="center"/>
    </xf>
    <xf numFmtId="0" fontId="24" fillId="2" borderId="51" xfId="3" applyFont="1" applyFill="1" applyBorder="1" applyAlignment="1">
      <alignment vertical="center" wrapText="1"/>
    </xf>
    <xf numFmtId="3" fontId="21" fillId="2" borderId="51" xfId="3" applyNumberFormat="1" applyFont="1" applyFill="1" applyBorder="1" applyAlignment="1">
      <alignment horizontal="right" vertical="center"/>
    </xf>
    <xf numFmtId="164" fontId="25" fillId="2" borderId="50" xfId="3" applyNumberFormat="1" applyFont="1" applyFill="1" applyBorder="1" applyAlignment="1">
      <alignment horizontal="right" vertical="center"/>
    </xf>
    <xf numFmtId="164" fontId="26" fillId="2" borderId="58" xfId="3" applyNumberFormat="1" applyFont="1" applyFill="1" applyBorder="1" applyAlignment="1">
      <alignment horizontal="right" vertical="center"/>
    </xf>
    <xf numFmtId="3" fontId="27" fillId="4" borderId="53" xfId="3" applyNumberFormat="1" applyFont="1" applyFill="1" applyBorder="1" applyAlignment="1">
      <alignment horizontal="right" vertical="center"/>
    </xf>
    <xf numFmtId="164" fontId="26" fillId="2" borderId="55" xfId="3" applyNumberFormat="1" applyFont="1" applyFill="1" applyBorder="1" applyAlignment="1">
      <alignment horizontal="right" vertical="center"/>
    </xf>
    <xf numFmtId="3" fontId="27" fillId="3" borderId="56" xfId="3" applyNumberFormat="1" applyFont="1" applyFill="1" applyBorder="1" applyAlignment="1">
      <alignment horizontal="right" vertical="center"/>
    </xf>
    <xf numFmtId="3" fontId="14" fillId="2" borderId="0" xfId="3" applyNumberFormat="1" applyFont="1" applyFill="1" applyBorder="1" applyAlignment="1">
      <alignment horizontal="right" vertical="center"/>
    </xf>
    <xf numFmtId="0" fontId="19" fillId="2" borderId="0" xfId="5" applyFont="1" applyFill="1" applyBorder="1" applyAlignment="1">
      <alignment horizontal="right"/>
    </xf>
    <xf numFmtId="167" fontId="19" fillId="2" borderId="0" xfId="3" applyNumberFormat="1" applyFont="1" applyFill="1" applyBorder="1" applyAlignment="1">
      <alignment horizontal="right" vertical="center"/>
    </xf>
    <xf numFmtId="3" fontId="20" fillId="4" borderId="44" xfId="3" applyNumberFormat="1" applyFont="1" applyFill="1" applyBorder="1" applyAlignment="1">
      <alignment horizontal="right" vertical="center"/>
    </xf>
    <xf numFmtId="167" fontId="19" fillId="2" borderId="59" xfId="3" applyNumberFormat="1" applyFont="1" applyFill="1" applyBorder="1" applyAlignment="1">
      <alignment horizontal="right" vertical="center"/>
    </xf>
    <xf numFmtId="3" fontId="20" fillId="3" borderId="47" xfId="3" applyNumberFormat="1" applyFont="1" applyFill="1" applyBorder="1" applyAlignment="1">
      <alignment horizontal="right" vertical="center"/>
    </xf>
    <xf numFmtId="164" fontId="19" fillId="2" borderId="0" xfId="3" applyNumberFormat="1" applyFont="1" applyFill="1" applyBorder="1" applyAlignment="1">
      <alignment horizontal="right" vertical="center"/>
    </xf>
    <xf numFmtId="164" fontId="19" fillId="2" borderId="59" xfId="3" applyNumberFormat="1" applyFont="1" applyFill="1" applyBorder="1" applyAlignment="1">
      <alignment horizontal="right" vertical="center"/>
    </xf>
    <xf numFmtId="3" fontId="10" fillId="2" borderId="11" xfId="3" applyNumberFormat="1" applyFont="1" applyFill="1" applyBorder="1" applyAlignment="1">
      <alignment horizontal="right" vertical="center"/>
    </xf>
    <xf numFmtId="164" fontId="19" fillId="2" borderId="10" xfId="3" applyNumberFormat="1" applyFont="1" applyFill="1" applyBorder="1" applyAlignment="1">
      <alignment horizontal="right" vertical="center"/>
    </xf>
    <xf numFmtId="164" fontId="19" fillId="2" borderId="12" xfId="3" applyNumberFormat="1" applyFont="1" applyFill="1" applyBorder="1" applyAlignment="1">
      <alignment horizontal="right" vertical="center"/>
    </xf>
    <xf numFmtId="3" fontId="23" fillId="4" borderId="60" xfId="3" applyNumberFormat="1" applyFont="1" applyFill="1" applyBorder="1" applyAlignment="1">
      <alignment horizontal="right" vertical="center"/>
    </xf>
    <xf numFmtId="164" fontId="19" fillId="2" borderId="75" xfId="3" applyNumberFormat="1" applyFont="1" applyFill="1" applyBorder="1" applyAlignment="1">
      <alignment horizontal="right" vertical="center"/>
    </xf>
    <xf numFmtId="3" fontId="23" fillId="3" borderId="61" xfId="3" applyNumberFormat="1" applyFont="1" applyFill="1" applyBorder="1" applyAlignment="1">
      <alignment horizontal="right" vertical="center"/>
    </xf>
    <xf numFmtId="0" fontId="14" fillId="2" borderId="23" xfId="3" applyFont="1" applyFill="1" applyBorder="1" applyAlignment="1">
      <alignment vertical="center"/>
    </xf>
    <xf numFmtId="0" fontId="14" fillId="2" borderId="15" xfId="3" applyFont="1" applyFill="1" applyBorder="1" applyAlignment="1">
      <alignment vertical="center"/>
    </xf>
    <xf numFmtId="3" fontId="10" fillId="2" borderId="15" xfId="3" applyNumberFormat="1" applyFont="1" applyFill="1" applyBorder="1" applyAlignment="1">
      <alignment horizontal="right" vertical="center"/>
    </xf>
    <xf numFmtId="164" fontId="19" fillId="2" borderId="19" xfId="3" applyNumberFormat="1" applyFont="1" applyFill="1" applyBorder="1" applyAlignment="1">
      <alignment horizontal="right" vertical="center"/>
    </xf>
    <xf numFmtId="164" fontId="19" fillId="2" borderId="24" xfId="3" applyNumberFormat="1" applyFont="1" applyFill="1" applyBorder="1" applyAlignment="1">
      <alignment horizontal="right" vertical="center"/>
    </xf>
    <xf numFmtId="3" fontId="23" fillId="4" borderId="76" xfId="3" applyNumberFormat="1" applyFont="1" applyFill="1" applyBorder="1" applyAlignment="1">
      <alignment horizontal="right" vertical="center"/>
    </xf>
    <xf numFmtId="164" fontId="19" fillId="2" borderId="77" xfId="3" applyNumberFormat="1" applyFont="1" applyFill="1" applyBorder="1" applyAlignment="1">
      <alignment horizontal="right" vertical="center"/>
    </xf>
    <xf numFmtId="3" fontId="23" fillId="3" borderId="78" xfId="3" applyNumberFormat="1" applyFont="1" applyFill="1" applyBorder="1" applyAlignment="1">
      <alignment horizontal="right" vertical="center"/>
    </xf>
    <xf numFmtId="0" fontId="14" fillId="2" borderId="26" xfId="3" applyFont="1" applyFill="1" applyBorder="1" applyAlignment="1">
      <alignment vertical="center"/>
    </xf>
    <xf numFmtId="3" fontId="10" fillId="2" borderId="26" xfId="3" applyNumberFormat="1" applyFont="1" applyFill="1" applyBorder="1" applyAlignment="1">
      <alignment horizontal="right" vertical="center"/>
    </xf>
    <xf numFmtId="164" fontId="19" fillId="2" borderId="71" xfId="3" applyNumberFormat="1" applyFont="1" applyFill="1" applyBorder="1" applyAlignment="1">
      <alignment horizontal="right" vertical="center"/>
    </xf>
    <xf numFmtId="3" fontId="23" fillId="4" borderId="72" xfId="3" applyNumberFormat="1" applyFont="1" applyFill="1" applyBorder="1" applyAlignment="1">
      <alignment horizontal="right" vertical="center"/>
    </xf>
    <xf numFmtId="164" fontId="19" fillId="2" borderId="28" xfId="3" applyNumberFormat="1" applyFont="1" applyFill="1" applyBorder="1" applyAlignment="1">
      <alignment horizontal="right" vertical="center"/>
    </xf>
    <xf numFmtId="3" fontId="23" fillId="3" borderId="73" xfId="3" applyNumberFormat="1" applyFont="1" applyFill="1" applyBorder="1" applyAlignment="1">
      <alignment horizontal="right" vertical="center"/>
    </xf>
    <xf numFmtId="0" fontId="14" fillId="2" borderId="63" xfId="3" applyFont="1" applyFill="1" applyBorder="1" applyAlignment="1">
      <alignment vertical="center"/>
    </xf>
    <xf numFmtId="164" fontId="19" fillId="2" borderId="22" xfId="3" applyNumberFormat="1" applyFont="1" applyFill="1" applyBorder="1" applyAlignment="1">
      <alignment horizontal="right" vertical="center"/>
    </xf>
    <xf numFmtId="0" fontId="14" fillId="2" borderId="21" xfId="3" applyFont="1" applyFill="1" applyBorder="1" applyAlignment="1">
      <alignment vertical="center"/>
    </xf>
    <xf numFmtId="3" fontId="14" fillId="2" borderId="20" xfId="3" applyNumberFormat="1" applyFont="1" applyFill="1" applyBorder="1" applyAlignment="1">
      <alignment horizontal="right" vertical="center"/>
    </xf>
    <xf numFmtId="3" fontId="22" fillId="4" borderId="79" xfId="3" applyNumberFormat="1" applyFont="1" applyFill="1" applyBorder="1" applyAlignment="1">
      <alignment horizontal="right" vertical="center"/>
    </xf>
    <xf numFmtId="3" fontId="22" fillId="3" borderId="80" xfId="3" applyNumberFormat="1" applyFont="1" applyFill="1" applyBorder="1" applyAlignment="1">
      <alignment horizontal="right" vertical="center"/>
    </xf>
    <xf numFmtId="0" fontId="14" fillId="2" borderId="42" xfId="3" applyFont="1" applyFill="1" applyBorder="1" applyAlignment="1">
      <alignment vertical="center"/>
    </xf>
    <xf numFmtId="0" fontId="14" fillId="2" borderId="24" xfId="3" applyFont="1" applyFill="1" applyBorder="1" applyAlignment="1">
      <alignment vertical="center"/>
    </xf>
    <xf numFmtId="0" fontId="14" fillId="2" borderId="18" xfId="3" applyFont="1" applyFill="1" applyBorder="1" applyAlignment="1">
      <alignment vertical="center"/>
    </xf>
    <xf numFmtId="0" fontId="14" fillId="2" borderId="19" xfId="3" applyFont="1" applyFill="1" applyBorder="1" applyAlignment="1">
      <alignment vertical="center"/>
    </xf>
    <xf numFmtId="3" fontId="14" fillId="2" borderId="18" xfId="3" applyNumberFormat="1" applyFont="1" applyFill="1" applyBorder="1" applyAlignment="1">
      <alignment horizontal="right" vertical="center"/>
    </xf>
    <xf numFmtId="3" fontId="14" fillId="2" borderId="15" xfId="3" applyNumberFormat="1" applyFont="1" applyFill="1" applyBorder="1" applyAlignment="1">
      <alignment horizontal="right" vertical="center"/>
    </xf>
    <xf numFmtId="3" fontId="22" fillId="4" borderId="76" xfId="3" applyNumberFormat="1" applyFont="1" applyFill="1" applyBorder="1" applyAlignment="1">
      <alignment horizontal="right" vertical="center"/>
    </xf>
    <xf numFmtId="3" fontId="22" fillId="3" borderId="78" xfId="3" applyNumberFormat="1" applyFont="1" applyFill="1" applyBorder="1" applyAlignment="1">
      <alignment horizontal="right" vertical="center"/>
    </xf>
    <xf numFmtId="0" fontId="14" fillId="2" borderId="20" xfId="3" applyFont="1" applyFill="1" applyBorder="1" applyAlignment="1">
      <alignment vertical="center"/>
    </xf>
    <xf numFmtId="0" fontId="14" fillId="2" borderId="81" xfId="3" applyFont="1" applyFill="1" applyBorder="1" applyAlignment="1">
      <alignment vertical="center"/>
    </xf>
    <xf numFmtId="0" fontId="14" fillId="2" borderId="82" xfId="3" applyFont="1" applyFill="1" applyBorder="1" applyAlignment="1">
      <alignment vertical="center"/>
    </xf>
    <xf numFmtId="0" fontId="14" fillId="2" borderId="1" xfId="3" applyFont="1" applyFill="1" applyBorder="1" applyAlignment="1">
      <alignment vertical="center"/>
    </xf>
    <xf numFmtId="0" fontId="14" fillId="2" borderId="3" xfId="3" applyFont="1" applyFill="1" applyBorder="1" applyAlignment="1">
      <alignment vertical="center"/>
    </xf>
    <xf numFmtId="0" fontId="10" fillId="2" borderId="3" xfId="3" applyFont="1" applyFill="1" applyBorder="1" applyAlignment="1">
      <alignment vertical="center"/>
    </xf>
    <xf numFmtId="0" fontId="10" fillId="2" borderId="57" xfId="3" applyFont="1" applyFill="1" applyBorder="1" applyAlignment="1">
      <alignment vertical="center"/>
    </xf>
    <xf numFmtId="3" fontId="10" fillId="2" borderId="2" xfId="3" applyNumberFormat="1" applyFont="1" applyFill="1" applyBorder="1" applyAlignment="1">
      <alignment horizontal="right" vertical="center"/>
    </xf>
    <xf numFmtId="164" fontId="19" fillId="2" borderId="83" xfId="3" applyNumberFormat="1" applyFont="1" applyFill="1" applyBorder="1" applyAlignment="1">
      <alignment horizontal="right" vertical="center"/>
    </xf>
    <xf numFmtId="164" fontId="19" fillId="2" borderId="3" xfId="3" applyNumberFormat="1" applyFont="1" applyFill="1" applyBorder="1" applyAlignment="1">
      <alignment horizontal="right" vertical="center"/>
    </xf>
    <xf numFmtId="3" fontId="23" fillId="4" borderId="84" xfId="3" applyNumberFormat="1" applyFont="1" applyFill="1" applyBorder="1" applyAlignment="1">
      <alignment horizontal="right" vertical="center"/>
    </xf>
    <xf numFmtId="164" fontId="19" fillId="2" borderId="4" xfId="3" applyNumberFormat="1" applyFont="1" applyFill="1" applyBorder="1" applyAlignment="1">
      <alignment horizontal="right" vertical="center"/>
    </xf>
    <xf numFmtId="3" fontId="23" fillId="3" borderId="85" xfId="3" applyNumberFormat="1" applyFont="1" applyFill="1" applyBorder="1" applyAlignment="1">
      <alignment horizontal="right" vertical="center"/>
    </xf>
    <xf numFmtId="0" fontId="14" fillId="0" borderId="23" xfId="3" applyFont="1" applyFill="1" applyBorder="1" applyAlignment="1">
      <alignment vertical="center"/>
    </xf>
    <xf numFmtId="0" fontId="14" fillId="0" borderId="24" xfId="3" applyFont="1" applyFill="1" applyBorder="1" applyAlignment="1">
      <alignment vertical="center"/>
    </xf>
    <xf numFmtId="3" fontId="10" fillId="2" borderId="18" xfId="3" applyNumberFormat="1" applyFont="1" applyFill="1" applyBorder="1" applyAlignment="1">
      <alignment horizontal="right" vertical="center"/>
    </xf>
    <xf numFmtId="0" fontId="14" fillId="0" borderId="38" xfId="3" applyFont="1" applyFill="1" applyBorder="1" applyAlignment="1">
      <alignment vertical="center"/>
    </xf>
    <xf numFmtId="0" fontId="14" fillId="0" borderId="18" xfId="3" applyFont="1" applyFill="1" applyBorder="1" applyAlignment="1">
      <alignment vertical="center"/>
    </xf>
    <xf numFmtId="0" fontId="14" fillId="0" borderId="19" xfId="3" applyFont="1" applyFill="1" applyBorder="1" applyAlignment="1">
      <alignment vertical="center"/>
    </xf>
    <xf numFmtId="0" fontId="14" fillId="2" borderId="86" xfId="3" applyFont="1" applyFill="1" applyBorder="1" applyAlignment="1">
      <alignment vertical="center"/>
    </xf>
    <xf numFmtId="0" fontId="14" fillId="2" borderId="57" xfId="3" applyFont="1" applyFill="1" applyBorder="1" applyAlignment="1">
      <alignment vertical="center"/>
    </xf>
    <xf numFmtId="3" fontId="10" fillId="0" borderId="2" xfId="5" applyNumberFormat="1" applyFont="1" applyFill="1" applyBorder="1" applyAlignment="1">
      <alignment horizontal="right" vertical="center"/>
    </xf>
    <xf numFmtId="3" fontId="23" fillId="4" borderId="84" xfId="5" applyNumberFormat="1" applyFont="1" applyFill="1" applyBorder="1" applyAlignment="1">
      <alignment horizontal="right" vertical="center"/>
    </xf>
    <xf numFmtId="3" fontId="23" fillId="3" borderId="85" xfId="5" applyNumberFormat="1" applyFont="1" applyFill="1" applyBorder="1" applyAlignment="1">
      <alignment horizontal="right" vertical="center"/>
    </xf>
    <xf numFmtId="0" fontId="14" fillId="2" borderId="87" xfId="3" applyFont="1" applyFill="1" applyBorder="1" applyAlignment="1">
      <alignment vertical="center"/>
    </xf>
    <xf numFmtId="0" fontId="14" fillId="0" borderId="82" xfId="3" applyFont="1" applyFill="1" applyBorder="1" applyAlignment="1">
      <alignment vertical="center"/>
    </xf>
    <xf numFmtId="3" fontId="10" fillId="0" borderId="20" xfId="3" applyNumberFormat="1" applyFont="1" applyFill="1" applyBorder="1" applyAlignment="1">
      <alignment horizontal="right" vertical="center"/>
    </xf>
    <xf numFmtId="164" fontId="19" fillId="0" borderId="88" xfId="3" applyNumberFormat="1" applyFont="1" applyFill="1" applyBorder="1" applyAlignment="1">
      <alignment horizontal="right" vertical="center"/>
    </xf>
    <xf numFmtId="164" fontId="19" fillId="0" borderId="21" xfId="3" applyNumberFormat="1" applyFont="1" applyFill="1" applyBorder="1" applyAlignment="1">
      <alignment horizontal="right" vertical="center"/>
    </xf>
    <xf numFmtId="3" fontId="28" fillId="4" borderId="79" xfId="3" applyNumberFormat="1" applyFont="1" applyFill="1" applyBorder="1" applyAlignment="1">
      <alignment horizontal="right" vertical="center"/>
    </xf>
    <xf numFmtId="164" fontId="19" fillId="2" borderId="13" xfId="3" applyNumberFormat="1" applyFont="1" applyFill="1" applyBorder="1" applyAlignment="1">
      <alignment horizontal="right" vertical="center"/>
    </xf>
    <xf numFmtId="3" fontId="28" fillId="3" borderId="80" xfId="3" applyNumberFormat="1" applyFont="1" applyFill="1" applyBorder="1" applyAlignment="1">
      <alignment horizontal="right" vertical="center"/>
    </xf>
    <xf numFmtId="3" fontId="10" fillId="0" borderId="15" xfId="3" applyNumberFormat="1" applyFont="1" applyFill="1" applyBorder="1" applyAlignment="1">
      <alignment horizontal="right" vertical="center"/>
    </xf>
    <xf numFmtId="164" fontId="19" fillId="0" borderId="19" xfId="3" applyNumberFormat="1" applyFont="1" applyFill="1" applyBorder="1" applyAlignment="1">
      <alignment horizontal="right" vertical="center"/>
    </xf>
    <xf numFmtId="164" fontId="19" fillId="0" borderId="24" xfId="3" applyNumberFormat="1" applyFont="1" applyFill="1" applyBorder="1" applyAlignment="1">
      <alignment horizontal="right" vertical="center"/>
    </xf>
    <xf numFmtId="0" fontId="14" fillId="0" borderId="88" xfId="3" applyFont="1" applyFill="1" applyBorder="1" applyAlignment="1">
      <alignment vertical="center"/>
    </xf>
    <xf numFmtId="3" fontId="23" fillId="4" borderId="79" xfId="3" applyNumberFormat="1" applyFont="1" applyFill="1" applyBorder="1" applyAlignment="1">
      <alignment horizontal="right" vertical="center"/>
    </xf>
    <xf numFmtId="3" fontId="23" fillId="3" borderId="80" xfId="3" applyNumberFormat="1" applyFont="1" applyFill="1" applyBorder="1" applyAlignment="1">
      <alignment horizontal="right" vertical="center"/>
    </xf>
    <xf numFmtId="0" fontId="14" fillId="0" borderId="65" xfId="3" applyFont="1" applyFill="1" applyBorder="1" applyAlignment="1">
      <alignment vertical="center"/>
    </xf>
    <xf numFmtId="0" fontId="14" fillId="0" borderId="24" xfId="3" applyFont="1" applyFill="1" applyBorder="1" applyAlignment="1">
      <alignment horizontal="left" vertical="center"/>
    </xf>
    <xf numFmtId="0" fontId="14" fillId="0" borderId="18" xfId="3" applyFont="1" applyFill="1" applyBorder="1" applyAlignment="1">
      <alignment horizontal="left" vertical="center"/>
    </xf>
    <xf numFmtId="0" fontId="14" fillId="0" borderId="19" xfId="3" applyFont="1" applyFill="1" applyBorder="1" applyAlignment="1">
      <alignment horizontal="left" vertical="center"/>
    </xf>
    <xf numFmtId="0" fontId="14" fillId="2" borderId="38" xfId="3" applyFont="1" applyFill="1" applyBorder="1" applyAlignment="1">
      <alignment vertical="center"/>
    </xf>
    <xf numFmtId="0" fontId="14" fillId="2" borderId="39" xfId="3" applyFont="1" applyFill="1" applyBorder="1" applyAlignment="1">
      <alignment vertical="center"/>
    </xf>
    <xf numFmtId="3" fontId="10" fillId="0" borderId="42" xfId="3" applyNumberFormat="1" applyFont="1" applyFill="1" applyBorder="1" applyAlignment="1">
      <alignment horizontal="right" vertical="center"/>
    </xf>
    <xf numFmtId="164" fontId="19" fillId="0" borderId="41" xfId="3" applyNumberFormat="1" applyFont="1" applyFill="1" applyBorder="1" applyAlignment="1">
      <alignment horizontal="right" vertical="center"/>
    </xf>
    <xf numFmtId="164" fontId="19" fillId="0" borderId="39" xfId="3" applyNumberFormat="1" applyFont="1" applyFill="1" applyBorder="1" applyAlignment="1">
      <alignment horizontal="right" vertical="center"/>
    </xf>
    <xf numFmtId="3" fontId="23" fillId="4" borderId="44" xfId="3" applyNumberFormat="1" applyFont="1" applyFill="1" applyBorder="1" applyAlignment="1">
      <alignment horizontal="right" vertical="center"/>
    </xf>
    <xf numFmtId="164" fontId="19" fillId="0" borderId="66" xfId="3" applyNumberFormat="1" applyFont="1" applyFill="1" applyBorder="1" applyAlignment="1">
      <alignment horizontal="right" vertical="center"/>
    </xf>
    <xf numFmtId="3" fontId="23" fillId="3" borderId="47" xfId="3" applyNumberFormat="1" applyFont="1" applyFill="1" applyBorder="1" applyAlignment="1">
      <alignment horizontal="right" vertical="center"/>
    </xf>
    <xf numFmtId="0" fontId="24" fillId="2" borderId="1" xfId="3" applyFont="1" applyFill="1" applyBorder="1" applyAlignment="1">
      <alignment vertical="center"/>
    </xf>
    <xf numFmtId="0" fontId="24" fillId="2" borderId="3" xfId="3" applyFont="1" applyFill="1" applyBorder="1" applyAlignment="1">
      <alignment vertical="center" wrapText="1"/>
    </xf>
    <xf numFmtId="0" fontId="21" fillId="2" borderId="3" xfId="3" applyFont="1" applyFill="1" applyBorder="1" applyAlignment="1">
      <alignment vertical="center"/>
    </xf>
    <xf numFmtId="0" fontId="21" fillId="2" borderId="57" xfId="3" applyFont="1" applyFill="1" applyBorder="1" applyAlignment="1">
      <alignment vertical="center" wrapText="1"/>
    </xf>
    <xf numFmtId="3" fontId="21" fillId="2" borderId="2" xfId="3" applyNumberFormat="1" applyFont="1" applyFill="1" applyBorder="1" applyAlignment="1">
      <alignment horizontal="right" vertical="center"/>
    </xf>
    <xf numFmtId="164" fontId="25" fillId="2" borderId="83" xfId="3" applyNumberFormat="1" applyFont="1" applyFill="1" applyBorder="1" applyAlignment="1">
      <alignment horizontal="right" vertical="center"/>
    </xf>
    <xf numFmtId="164" fontId="26" fillId="2" borderId="3" xfId="3" applyNumberFormat="1" applyFont="1" applyFill="1" applyBorder="1" applyAlignment="1">
      <alignment horizontal="right" vertical="center"/>
    </xf>
    <xf numFmtId="3" fontId="27" fillId="4" borderId="84" xfId="3" applyNumberFormat="1" applyFont="1" applyFill="1" applyBorder="1" applyAlignment="1">
      <alignment horizontal="right" vertical="center"/>
    </xf>
    <xf numFmtId="164" fontId="26" fillId="2" borderId="4" xfId="3" applyNumberFormat="1" applyFont="1" applyFill="1" applyBorder="1" applyAlignment="1">
      <alignment horizontal="right" vertical="center"/>
    </xf>
    <xf numFmtId="3" fontId="27" fillId="3" borderId="85" xfId="3" applyNumberFormat="1" applyFont="1" applyFill="1" applyBorder="1" applyAlignment="1">
      <alignment horizontal="right" vertical="center"/>
    </xf>
    <xf numFmtId="3" fontId="24" fillId="2" borderId="14" xfId="3" applyNumberFormat="1" applyFont="1" applyFill="1" applyBorder="1" applyAlignment="1">
      <alignment vertical="center"/>
    </xf>
    <xf numFmtId="3" fontId="24" fillId="2" borderId="11" xfId="3" applyNumberFormat="1" applyFont="1" applyFill="1" applyBorder="1" applyAlignment="1">
      <alignment vertical="center"/>
    </xf>
    <xf numFmtId="0" fontId="11" fillId="2" borderId="12" xfId="3" applyFont="1" applyFill="1" applyBorder="1" applyAlignment="1">
      <alignment vertical="center"/>
    </xf>
    <xf numFmtId="3" fontId="12" fillId="2" borderId="9" xfId="3" applyNumberFormat="1" applyFont="1" applyFill="1" applyBorder="1" applyAlignment="1">
      <alignment vertical="center"/>
    </xf>
    <xf numFmtId="0" fontId="12" fillId="2" borderId="9" xfId="3" applyFont="1" applyFill="1" applyBorder="1" applyAlignment="1">
      <alignment vertical="center"/>
    </xf>
    <xf numFmtId="3" fontId="11" fillId="2" borderId="11" xfId="3" applyNumberFormat="1" applyFont="1" applyFill="1" applyBorder="1" applyAlignment="1">
      <alignment horizontal="right" vertical="center"/>
    </xf>
    <xf numFmtId="164" fontId="25" fillId="2" borderId="10" xfId="3" applyNumberFormat="1" applyFont="1" applyFill="1" applyBorder="1" applyAlignment="1">
      <alignment horizontal="right" vertical="center"/>
    </xf>
    <xf numFmtId="164" fontId="26" fillId="2" borderId="12" xfId="3" applyNumberFormat="1" applyFont="1" applyFill="1" applyBorder="1" applyAlignment="1">
      <alignment horizontal="right" vertical="center"/>
    </xf>
    <xf numFmtId="3" fontId="32" fillId="4" borderId="89" xfId="3" applyNumberFormat="1" applyFont="1" applyFill="1" applyBorder="1" applyAlignment="1">
      <alignment horizontal="right" vertical="center"/>
    </xf>
    <xf numFmtId="164" fontId="26" fillId="2" borderId="16" xfId="3" applyNumberFormat="1" applyFont="1" applyFill="1" applyBorder="1" applyAlignment="1">
      <alignment horizontal="right" vertical="center"/>
    </xf>
    <xf numFmtId="3" fontId="32" fillId="3" borderId="90" xfId="3" applyNumberFormat="1" applyFont="1" applyFill="1" applyBorder="1" applyAlignment="1">
      <alignment horizontal="right" vertical="center"/>
    </xf>
    <xf numFmtId="0" fontId="21" fillId="2" borderId="23" xfId="3" applyFont="1" applyFill="1" applyBorder="1" applyAlignment="1">
      <alignment vertical="center"/>
    </xf>
    <xf numFmtId="0" fontId="21" fillId="2" borderId="15" xfId="3" applyFont="1" applyFill="1" applyBorder="1" applyAlignment="1">
      <alignment vertical="center"/>
    </xf>
    <xf numFmtId="0" fontId="10" fillId="2" borderId="24" xfId="3" applyFont="1" applyFill="1" applyBorder="1" applyAlignment="1">
      <alignment vertical="center"/>
    </xf>
    <xf numFmtId="0" fontId="11" fillId="2" borderId="18" xfId="3" applyFont="1" applyFill="1" applyBorder="1" applyAlignment="1">
      <alignment vertical="center"/>
    </xf>
    <xf numFmtId="164" fontId="25" fillId="2" borderId="19" xfId="3" applyNumberFormat="1" applyFont="1" applyFill="1" applyBorder="1" applyAlignment="1">
      <alignment horizontal="right" vertical="center"/>
    </xf>
    <xf numFmtId="164" fontId="25" fillId="2" borderId="24" xfId="3" applyNumberFormat="1" applyFont="1" applyFill="1" applyBorder="1" applyAlignment="1">
      <alignment horizontal="right" vertical="center"/>
    </xf>
    <xf numFmtId="164" fontId="25" fillId="2" borderId="22" xfId="3" applyNumberFormat="1" applyFont="1" applyFill="1" applyBorder="1" applyAlignment="1">
      <alignment horizontal="right" vertical="center"/>
    </xf>
    <xf numFmtId="3" fontId="10" fillId="4" borderId="76" xfId="3" applyNumberFormat="1" applyFont="1" applyFill="1" applyBorder="1" applyAlignment="1">
      <alignment horizontal="right" vertical="center"/>
    </xf>
    <xf numFmtId="3" fontId="10" fillId="3" borderId="78" xfId="3" applyNumberFormat="1" applyFont="1" applyFill="1" applyBorder="1" applyAlignment="1">
      <alignment horizontal="right" vertical="center"/>
    </xf>
    <xf numFmtId="0" fontId="21" fillId="2" borderId="62" xfId="3" applyFont="1" applyFill="1" applyBorder="1" applyAlignment="1">
      <alignment vertical="center"/>
    </xf>
    <xf numFmtId="0" fontId="21" fillId="2" borderId="63" xfId="3" applyFont="1" applyFill="1" applyBorder="1" applyAlignment="1">
      <alignment vertical="center"/>
    </xf>
    <xf numFmtId="0" fontId="10" fillId="2" borderId="64" xfId="3" applyFont="1" applyFill="1" applyBorder="1" applyAlignment="1">
      <alignment vertical="center"/>
    </xf>
    <xf numFmtId="0" fontId="11" fillId="2" borderId="65" xfId="3" applyFont="1" applyFill="1" applyBorder="1" applyAlignment="1">
      <alignment vertical="center"/>
    </xf>
    <xf numFmtId="3" fontId="10" fillId="2" borderId="63" xfId="3" applyNumberFormat="1" applyFont="1" applyFill="1" applyBorder="1" applyAlignment="1">
      <alignment horizontal="right" vertical="center"/>
    </xf>
    <xf numFmtId="164" fontId="25" fillId="2" borderId="66" xfId="3" applyNumberFormat="1" applyFont="1" applyFill="1" applyBorder="1" applyAlignment="1">
      <alignment horizontal="right" vertical="center"/>
    </xf>
    <xf numFmtId="164" fontId="25" fillId="2" borderId="64" xfId="3" applyNumberFormat="1" applyFont="1" applyFill="1" applyBorder="1" applyAlignment="1">
      <alignment horizontal="right" vertical="center"/>
    </xf>
    <xf numFmtId="3" fontId="10" fillId="4" borderId="67" xfId="3" applyNumberFormat="1" applyFont="1" applyFill="1" applyBorder="1" applyAlignment="1">
      <alignment horizontal="right" vertical="center"/>
    </xf>
    <xf numFmtId="164" fontId="25" fillId="2" borderId="68" xfId="3" applyNumberFormat="1" applyFont="1" applyFill="1" applyBorder="1" applyAlignment="1">
      <alignment horizontal="right" vertical="center"/>
    </xf>
    <xf numFmtId="3" fontId="10" fillId="3" borderId="69" xfId="3" applyNumberFormat="1" applyFont="1" applyFill="1" applyBorder="1" applyAlignment="1">
      <alignment horizontal="right" vertical="center"/>
    </xf>
    <xf numFmtId="0" fontId="11" fillId="2" borderId="1" xfId="3" applyFont="1" applyFill="1" applyBorder="1" applyAlignment="1">
      <alignment vertical="center"/>
    </xf>
    <xf numFmtId="0" fontId="11" fillId="2" borderId="2" xfId="3" applyFont="1" applyFill="1" applyBorder="1" applyAlignment="1">
      <alignment vertical="center"/>
    </xf>
    <xf numFmtId="3" fontId="11" fillId="2" borderId="2" xfId="3" applyNumberFormat="1" applyFont="1" applyFill="1" applyBorder="1" applyAlignment="1">
      <alignment horizontal="right" vertical="center"/>
    </xf>
    <xf numFmtId="3" fontId="33" fillId="5" borderId="84" xfId="3" applyNumberFormat="1" applyFont="1" applyFill="1" applyBorder="1" applyAlignment="1">
      <alignment horizontal="right" vertical="center"/>
    </xf>
    <xf numFmtId="3" fontId="33" fillId="6" borderId="85" xfId="3" applyNumberFormat="1" applyFont="1" applyFill="1" applyBorder="1" applyAlignment="1">
      <alignment horizontal="right" vertical="center"/>
    </xf>
    <xf numFmtId="0" fontId="9" fillId="0" borderId="0" xfId="3" applyFont="1" applyFill="1" applyBorder="1" applyAlignment="1">
      <alignment vertical="center"/>
    </xf>
    <xf numFmtId="164" fontId="9" fillId="0" borderId="0" xfId="3" applyNumberFormat="1" applyFont="1" applyFill="1" applyBorder="1" applyAlignment="1">
      <alignment vertical="center"/>
    </xf>
    <xf numFmtId="3" fontId="9" fillId="0" borderId="0" xfId="3" applyNumberFormat="1" applyFont="1" applyFill="1" applyBorder="1" applyAlignment="1">
      <alignment vertical="center"/>
    </xf>
    <xf numFmtId="164" fontId="10" fillId="0" borderId="0" xfId="3" applyNumberFormat="1" applyFont="1" applyFill="1" applyBorder="1" applyAlignment="1">
      <alignment vertical="center"/>
    </xf>
    <xf numFmtId="3" fontId="9" fillId="0" borderId="0" xfId="3" applyNumberFormat="1" applyFont="1" applyFill="1" applyBorder="1" applyAlignment="1">
      <alignment horizontal="right" vertical="center"/>
    </xf>
    <xf numFmtId="0" fontId="10" fillId="0" borderId="0" xfId="3" applyFont="1" applyFill="1" applyAlignment="1">
      <alignment vertical="center"/>
    </xf>
    <xf numFmtId="0" fontId="11" fillId="0" borderId="0" xfId="3" applyFont="1" applyFill="1" applyBorder="1" applyAlignment="1">
      <alignment vertical="center"/>
    </xf>
    <xf numFmtId="164" fontId="9" fillId="0" borderId="15" xfId="3" applyNumberFormat="1" applyFont="1" applyFill="1" applyBorder="1" applyAlignment="1">
      <alignment vertical="center"/>
    </xf>
    <xf numFmtId="3" fontId="9" fillId="0" borderId="15" xfId="3" applyNumberFormat="1" applyFont="1" applyFill="1" applyBorder="1" applyAlignment="1">
      <alignment vertical="center"/>
    </xf>
    <xf numFmtId="164" fontId="10" fillId="0" borderId="15" xfId="3" applyNumberFormat="1" applyFont="1" applyFill="1" applyBorder="1" applyAlignment="1">
      <alignment vertical="center"/>
    </xf>
    <xf numFmtId="3" fontId="9" fillId="0" borderId="15" xfId="3" applyNumberFormat="1" applyFont="1" applyFill="1" applyBorder="1" applyAlignment="1">
      <alignment horizontal="right" vertical="center"/>
    </xf>
    <xf numFmtId="0" fontId="34" fillId="0" borderId="0" xfId="5" applyFont="1" applyFill="1" applyAlignment="1">
      <alignment horizontal="right" vertical="center"/>
    </xf>
    <xf numFmtId="0" fontId="30" fillId="0" borderId="40" xfId="3" applyFont="1" applyFill="1" applyBorder="1" applyAlignment="1">
      <alignment vertical="center"/>
    </xf>
    <xf numFmtId="0" fontId="30" fillId="0" borderId="0" xfId="3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3" fontId="30" fillId="0" borderId="0" xfId="3" applyNumberFormat="1" applyFont="1" applyFill="1" applyBorder="1" applyAlignment="1">
      <alignment horizontal="right" vertical="center"/>
    </xf>
    <xf numFmtId="164" fontId="30" fillId="0" borderId="0" xfId="3" applyNumberFormat="1" applyFont="1" applyFill="1" applyBorder="1" applyAlignment="1">
      <alignment horizontal="right" vertical="center"/>
    </xf>
    <xf numFmtId="0" fontId="30" fillId="0" borderId="0" xfId="3" applyFont="1" applyFill="1" applyBorder="1" applyAlignment="1">
      <alignment horizontal="right" vertical="center"/>
    </xf>
    <xf numFmtId="3" fontId="30" fillId="0" borderId="44" xfId="3" applyNumberFormat="1" applyFont="1" applyFill="1" applyBorder="1" applyAlignment="1">
      <alignment horizontal="right" vertical="center"/>
    </xf>
    <xf numFmtId="0" fontId="30" fillId="0" borderId="59" xfId="3" applyFont="1" applyFill="1" applyBorder="1" applyAlignment="1">
      <alignment horizontal="right" vertical="center"/>
    </xf>
    <xf numFmtId="3" fontId="30" fillId="0" borderId="47" xfId="3" applyNumberFormat="1" applyFont="1" applyFill="1" applyBorder="1" applyAlignment="1">
      <alignment horizontal="right" vertical="center"/>
    </xf>
    <xf numFmtId="0" fontId="0" fillId="0" borderId="0" xfId="0" applyFill="1"/>
    <xf numFmtId="3" fontId="9" fillId="3" borderId="11" xfId="3" applyNumberFormat="1" applyFont="1" applyFill="1" applyBorder="1" applyAlignment="1">
      <alignment horizontal="center" vertical="center"/>
    </xf>
    <xf numFmtId="0" fontId="7" fillId="0" borderId="0" xfId="2" applyFont="1"/>
    <xf numFmtId="0" fontId="7" fillId="0" borderId="0" xfId="6" applyFont="1"/>
    <xf numFmtId="0" fontId="4" fillId="0" borderId="0" xfId="6" applyFont="1"/>
    <xf numFmtId="0" fontId="23" fillId="0" borderId="23" xfId="7" applyFont="1" applyBorder="1" applyAlignment="1">
      <alignment horizontal="center" vertical="center" wrapText="1"/>
    </xf>
    <xf numFmtId="0" fontId="23" fillId="0" borderId="22" xfId="8" applyFont="1" applyFill="1" applyBorder="1" applyAlignment="1">
      <alignment horizontal="left" vertical="center" indent="1"/>
    </xf>
    <xf numFmtId="0" fontId="10" fillId="0" borderId="22" xfId="8" applyFont="1" applyFill="1" applyBorder="1" applyAlignment="1">
      <alignment horizontal="left" vertical="center" indent="1"/>
    </xf>
    <xf numFmtId="0" fontId="23" fillId="0" borderId="25" xfId="7" applyFont="1" applyBorder="1" applyAlignment="1">
      <alignment horizontal="center" vertical="center" wrapText="1"/>
    </xf>
    <xf numFmtId="0" fontId="10" fillId="0" borderId="29" xfId="8" applyFont="1" applyFill="1" applyBorder="1" applyAlignment="1">
      <alignment horizontal="left" vertical="center" indent="1"/>
    </xf>
    <xf numFmtId="0" fontId="9" fillId="0" borderId="86" xfId="6" applyFont="1" applyFill="1" applyBorder="1" applyAlignment="1">
      <alignment vertical="center"/>
    </xf>
    <xf numFmtId="0" fontId="9" fillId="0" borderId="91" xfId="6" applyFont="1" applyBorder="1" applyAlignment="1">
      <alignment horizontal="left" vertical="center" indent="1"/>
    </xf>
    <xf numFmtId="0" fontId="23" fillId="0" borderId="87" xfId="7" applyFont="1" applyBorder="1" applyAlignment="1">
      <alignment horizontal="center" vertical="center" wrapText="1"/>
    </xf>
    <xf numFmtId="0" fontId="10" fillId="0" borderId="13" xfId="8" applyFont="1" applyFill="1" applyBorder="1" applyAlignment="1">
      <alignment horizontal="left" vertical="center" indent="1"/>
    </xf>
    <xf numFmtId="0" fontId="23" fillId="0" borderId="25" xfId="10" applyFont="1" applyBorder="1" applyAlignment="1">
      <alignment horizontal="center" vertical="center"/>
    </xf>
    <xf numFmtId="0" fontId="23" fillId="0" borderId="26" xfId="10" applyFont="1" applyBorder="1" applyAlignment="1">
      <alignment horizontal="center" vertical="center"/>
    </xf>
    <xf numFmtId="0" fontId="23" fillId="0" borderId="26" xfId="10" applyFont="1" applyBorder="1" applyAlignment="1">
      <alignment horizontal="center" vertical="center" wrapText="1"/>
    </xf>
    <xf numFmtId="0" fontId="23" fillId="0" borderId="27" xfId="10" applyFont="1" applyBorder="1" applyAlignment="1">
      <alignment horizontal="center" vertical="center"/>
    </xf>
    <xf numFmtId="0" fontId="23" fillId="0" borderId="25" xfId="10" applyFont="1" applyBorder="1" applyAlignment="1">
      <alignment horizontal="center" vertical="center" wrapText="1"/>
    </xf>
    <xf numFmtId="10" fontId="10" fillId="0" borderId="87" xfId="9" applyNumberFormat="1" applyFont="1" applyFill="1" applyBorder="1" applyAlignment="1">
      <alignment horizontal="right" vertical="center" indent="1"/>
    </xf>
    <xf numFmtId="3" fontId="23" fillId="0" borderId="20" xfId="10" applyNumberFormat="1" applyFont="1" applyBorder="1" applyAlignment="1">
      <alignment horizontal="right" vertical="center" indent="1"/>
    </xf>
    <xf numFmtId="3" fontId="23" fillId="0" borderId="21" xfId="10" applyNumberFormat="1" applyFont="1" applyBorder="1" applyAlignment="1">
      <alignment horizontal="right" vertical="center" indent="1"/>
    </xf>
    <xf numFmtId="10" fontId="23" fillId="0" borderId="87" xfId="1" applyNumberFormat="1" applyFont="1" applyBorder="1" applyAlignment="1">
      <alignment horizontal="right" vertical="center" indent="1"/>
    </xf>
    <xf numFmtId="10" fontId="10" fillId="0" borderId="23" xfId="9" applyNumberFormat="1" applyFont="1" applyFill="1" applyBorder="1" applyAlignment="1">
      <alignment horizontal="right" vertical="center" indent="1"/>
    </xf>
    <xf numFmtId="3" fontId="23" fillId="0" borderId="15" xfId="10" applyNumberFormat="1" applyFont="1" applyBorder="1" applyAlignment="1">
      <alignment horizontal="right" vertical="center" indent="1"/>
    </xf>
    <xf numFmtId="3" fontId="23" fillId="0" borderId="24" xfId="10" applyNumberFormat="1" applyFont="1" applyBorder="1" applyAlignment="1">
      <alignment horizontal="right" vertical="center" indent="1"/>
    </xf>
    <xf numFmtId="10" fontId="23" fillId="0" borderId="23" xfId="1" applyNumberFormat="1" applyFont="1" applyBorder="1" applyAlignment="1">
      <alignment horizontal="right" vertical="center" indent="1"/>
    </xf>
    <xf numFmtId="10" fontId="10" fillId="0" borderId="62" xfId="9" applyNumberFormat="1" applyFont="1" applyFill="1" applyBorder="1" applyAlignment="1">
      <alignment horizontal="right" vertical="center" indent="1"/>
    </xf>
    <xf numFmtId="3" fontId="23" fillId="0" borderId="63" xfId="10" applyNumberFormat="1" applyFont="1" applyBorder="1" applyAlignment="1">
      <alignment horizontal="right" vertical="center" indent="1"/>
    </xf>
    <xf numFmtId="3" fontId="23" fillId="0" borderId="64" xfId="10" applyNumberFormat="1" applyFont="1" applyBorder="1" applyAlignment="1">
      <alignment horizontal="right" vertical="center" indent="1"/>
    </xf>
    <xf numFmtId="10" fontId="23" fillId="0" borderId="62" xfId="1" applyNumberFormat="1" applyFont="1" applyBorder="1" applyAlignment="1">
      <alignment horizontal="right" vertical="center" indent="1"/>
    </xf>
    <xf numFmtId="10" fontId="17" fillId="0" borderId="1" xfId="10" applyNumberFormat="1" applyFont="1" applyBorder="1" applyAlignment="1">
      <alignment horizontal="right" vertical="center" indent="1"/>
    </xf>
    <xf numFmtId="3" fontId="17" fillId="0" borderId="2" xfId="10" applyNumberFormat="1" applyFont="1" applyBorder="1" applyAlignment="1">
      <alignment horizontal="right" vertical="center" indent="1"/>
    </xf>
    <xf numFmtId="3" fontId="17" fillId="0" borderId="3" xfId="10" applyNumberFormat="1" applyFont="1" applyBorder="1" applyAlignment="1">
      <alignment horizontal="right" vertical="center" indent="1"/>
    </xf>
    <xf numFmtId="168" fontId="17" fillId="0" borderId="1" xfId="1" applyNumberFormat="1" applyFont="1" applyBorder="1" applyAlignment="1">
      <alignment horizontal="right" vertical="center" indent="1"/>
    </xf>
    <xf numFmtId="0" fontId="23" fillId="0" borderId="28" xfId="10" applyFont="1" applyBorder="1" applyAlignment="1">
      <alignment horizontal="center" vertical="center" wrapText="1"/>
    </xf>
    <xf numFmtId="10" fontId="23" fillId="0" borderId="93" xfId="1" applyNumberFormat="1" applyFont="1" applyBorder="1" applyAlignment="1">
      <alignment horizontal="right" vertical="center" indent="1"/>
    </xf>
    <xf numFmtId="10" fontId="23" fillId="0" borderId="77" xfId="1" applyNumberFormat="1" applyFont="1" applyBorder="1" applyAlignment="1">
      <alignment horizontal="right" vertical="center" indent="1"/>
    </xf>
    <xf numFmtId="10" fontId="23" fillId="0" borderId="94" xfId="1" applyNumberFormat="1" applyFont="1" applyBorder="1" applyAlignment="1">
      <alignment horizontal="right" vertical="center" indent="1"/>
    </xf>
    <xf numFmtId="10" fontId="17" fillId="0" borderId="91" xfId="1" applyNumberFormat="1" applyFont="1" applyBorder="1" applyAlignment="1">
      <alignment horizontal="right" vertical="center" indent="1"/>
    </xf>
    <xf numFmtId="0" fontId="35" fillId="0" borderId="15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168" fontId="0" fillId="0" borderId="19" xfId="1" applyNumberFormat="1" applyFont="1" applyBorder="1" applyAlignment="1">
      <alignment horizontal="center" vertical="center"/>
    </xf>
    <xf numFmtId="168" fontId="35" fillId="0" borderId="19" xfId="0" applyNumberFormat="1" applyFont="1" applyBorder="1" applyAlignment="1">
      <alignment horizontal="center"/>
    </xf>
    <xf numFmtId="0" fontId="36" fillId="0" borderId="0" xfId="0" applyFont="1"/>
    <xf numFmtId="3" fontId="35" fillId="7" borderId="15" xfId="0" applyNumberFormat="1" applyFont="1" applyFill="1" applyBorder="1" applyAlignment="1">
      <alignment horizontal="center" vertical="center"/>
    </xf>
    <xf numFmtId="3" fontId="35" fillId="8" borderId="15" xfId="0" applyNumberFormat="1" applyFont="1" applyFill="1" applyBorder="1" applyAlignment="1">
      <alignment horizontal="center" vertical="center"/>
    </xf>
    <xf numFmtId="3" fontId="35" fillId="9" borderId="15" xfId="0" applyNumberFormat="1" applyFont="1" applyFill="1" applyBorder="1" applyAlignment="1">
      <alignment horizontal="center" vertical="center"/>
    </xf>
    <xf numFmtId="3" fontId="35" fillId="10" borderId="15" xfId="0" applyNumberFormat="1" applyFont="1" applyFill="1" applyBorder="1" applyAlignment="1">
      <alignment horizontal="center" vertical="center"/>
    </xf>
    <xf numFmtId="0" fontId="37" fillId="0" borderId="0" xfId="0" applyFont="1"/>
    <xf numFmtId="0" fontId="23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 vertical="top"/>
    </xf>
    <xf numFmtId="0" fontId="4" fillId="0" borderId="0" xfId="5" applyFont="1" applyFill="1" applyBorder="1" applyAlignment="1">
      <alignment vertical="center"/>
    </xf>
    <xf numFmtId="0" fontId="0" fillId="0" borderId="0" xfId="0" applyBorder="1"/>
    <xf numFmtId="0" fontId="0" fillId="11" borderId="25" xfId="0" applyFill="1" applyBorder="1" applyAlignment="1">
      <alignment horizontal="center"/>
    </xf>
    <xf numFmtId="0" fontId="0" fillId="11" borderId="27" xfId="0" applyFill="1" applyBorder="1" applyAlignment="1">
      <alignment horizontal="center"/>
    </xf>
    <xf numFmtId="0" fontId="0" fillId="7" borderId="31" xfId="0" applyFill="1" applyBorder="1"/>
    <xf numFmtId="0" fontId="0" fillId="7" borderId="48" xfId="0" applyFill="1" applyBorder="1"/>
    <xf numFmtId="0" fontId="0" fillId="7" borderId="0" xfId="0" applyFill="1" applyBorder="1"/>
    <xf numFmtId="0" fontId="0" fillId="7" borderId="49" xfId="0" applyFill="1" applyBorder="1"/>
    <xf numFmtId="0" fontId="0" fillId="7" borderId="32" xfId="0" applyFill="1" applyBorder="1"/>
    <xf numFmtId="0" fontId="0" fillId="7" borderId="40" xfId="0" applyFill="1" applyBorder="1"/>
    <xf numFmtId="0" fontId="0" fillId="7" borderId="40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7" borderId="48" xfId="0" applyFill="1" applyBorder="1" applyAlignment="1">
      <alignment horizontal="center" vertical="center"/>
    </xf>
    <xf numFmtId="0" fontId="23" fillId="7" borderId="100" xfId="7" applyFont="1" applyFill="1" applyBorder="1" applyAlignment="1">
      <alignment horizontal="left" vertical="center" wrapText="1" indent="1"/>
    </xf>
    <xf numFmtId="0" fontId="23" fillId="7" borderId="101" xfId="7" applyFont="1" applyFill="1" applyBorder="1" applyAlignment="1">
      <alignment horizontal="left" vertical="center" wrapText="1" indent="1"/>
    </xf>
    <xf numFmtId="0" fontId="23" fillId="7" borderId="102" xfId="7" applyFont="1" applyFill="1" applyBorder="1" applyAlignment="1">
      <alignment horizontal="left" vertical="center" wrapText="1" indent="1"/>
    </xf>
    <xf numFmtId="0" fontId="0" fillId="11" borderId="95" xfId="0" applyFill="1" applyBorder="1" applyAlignment="1">
      <alignment horizontal="center"/>
    </xf>
    <xf numFmtId="0" fontId="0" fillId="11" borderId="70" xfId="0" applyFill="1" applyBorder="1" applyAlignment="1">
      <alignment horizontal="center"/>
    </xf>
    <xf numFmtId="0" fontId="35" fillId="7" borderId="1" xfId="0" applyFont="1" applyFill="1" applyBorder="1" applyAlignment="1">
      <alignment horizontal="center" vertical="center"/>
    </xf>
    <xf numFmtId="0" fontId="35" fillId="7" borderId="92" xfId="0" applyFont="1" applyFill="1" applyBorder="1" applyAlignment="1">
      <alignment horizontal="center"/>
    </xf>
    <xf numFmtId="0" fontId="35" fillId="7" borderId="57" xfId="0" applyFont="1" applyFill="1" applyBorder="1"/>
    <xf numFmtId="0" fontId="35" fillId="7" borderId="86" xfId="0" applyFont="1" applyFill="1" applyBorder="1"/>
    <xf numFmtId="0" fontId="0" fillId="0" borderId="40" xfId="0" applyFill="1" applyBorder="1"/>
    <xf numFmtId="0" fontId="0" fillId="0" borderId="59" xfId="0" applyFill="1" applyBorder="1"/>
    <xf numFmtId="0" fontId="0" fillId="0" borderId="0" xfId="0" applyFill="1" applyBorder="1"/>
    <xf numFmtId="0" fontId="0" fillId="0" borderId="32" xfId="0" applyBorder="1"/>
    <xf numFmtId="0" fontId="0" fillId="11" borderId="25" xfId="0" applyFill="1" applyBorder="1" applyAlignment="1">
      <alignment horizontal="center" vertical="center" wrapText="1"/>
    </xf>
    <xf numFmtId="0" fontId="0" fillId="11" borderId="29" xfId="0" applyFill="1" applyBorder="1" applyAlignment="1">
      <alignment horizontal="center" vertical="center" wrapText="1"/>
    </xf>
    <xf numFmtId="3" fontId="0" fillId="7" borderId="32" xfId="0" applyNumberFormat="1" applyFill="1" applyBorder="1"/>
    <xf numFmtId="3" fontId="0" fillId="7" borderId="31" xfId="0" applyNumberFormat="1" applyFill="1" applyBorder="1"/>
    <xf numFmtId="3" fontId="0" fillId="7" borderId="0" xfId="0" applyNumberFormat="1" applyFill="1" applyBorder="1"/>
    <xf numFmtId="3" fontId="0" fillId="7" borderId="40" xfId="0" applyNumberFormat="1" applyFill="1" applyBorder="1"/>
    <xf numFmtId="3" fontId="0" fillId="7" borderId="49" xfId="0" applyNumberFormat="1" applyFill="1" applyBorder="1"/>
    <xf numFmtId="3" fontId="35" fillId="7" borderId="57" xfId="0" applyNumberFormat="1" applyFont="1" applyFill="1" applyBorder="1"/>
    <xf numFmtId="3" fontId="35" fillId="7" borderId="86" xfId="0" applyNumberFormat="1" applyFont="1" applyFill="1" applyBorder="1"/>
    <xf numFmtId="3" fontId="0" fillId="7" borderId="48" xfId="0" applyNumberFormat="1" applyFill="1" applyBorder="1"/>
    <xf numFmtId="3" fontId="0" fillId="7" borderId="86" xfId="0" applyNumberFormat="1" applyFill="1" applyBorder="1"/>
    <xf numFmtId="10" fontId="0" fillId="7" borderId="98" xfId="1" applyNumberFormat="1" applyFont="1" applyFill="1" applyBorder="1"/>
    <xf numFmtId="10" fontId="0" fillId="7" borderId="59" xfId="1" applyNumberFormat="1" applyFont="1" applyFill="1" applyBorder="1"/>
    <xf numFmtId="10" fontId="0" fillId="7" borderId="0" xfId="1" applyNumberFormat="1" applyFont="1" applyFill="1" applyBorder="1"/>
    <xf numFmtId="10" fontId="0" fillId="7" borderId="99" xfId="1" applyNumberFormat="1" applyFont="1" applyFill="1" applyBorder="1"/>
    <xf numFmtId="10" fontId="35" fillId="7" borderId="57" xfId="1" applyNumberFormat="1" applyFont="1" applyFill="1" applyBorder="1"/>
    <xf numFmtId="10" fontId="35" fillId="7" borderId="91" xfId="1" applyNumberFormat="1" applyFont="1" applyFill="1" applyBorder="1"/>
    <xf numFmtId="10" fontId="0" fillId="7" borderId="32" xfId="1" applyNumberFormat="1" applyFont="1" applyFill="1" applyBorder="1"/>
    <xf numFmtId="10" fontId="0" fillId="7" borderId="57" xfId="1" applyNumberFormat="1" applyFont="1" applyFill="1" applyBorder="1"/>
    <xf numFmtId="10" fontId="0" fillId="7" borderId="91" xfId="1" applyNumberFormat="1" applyFont="1" applyFill="1" applyBorder="1"/>
    <xf numFmtId="9" fontId="35" fillId="11" borderId="86" xfId="0" applyNumberFormat="1" applyFont="1" applyFill="1" applyBorder="1" applyAlignment="1"/>
    <xf numFmtId="9" fontId="35" fillId="11" borderId="57" xfId="0" applyNumberFormat="1" applyFont="1" applyFill="1" applyBorder="1" applyAlignment="1"/>
    <xf numFmtId="9" fontId="35" fillId="11" borderId="91" xfId="0" applyNumberFormat="1" applyFont="1" applyFill="1" applyBorder="1" applyAlignment="1"/>
    <xf numFmtId="10" fontId="35" fillId="11" borderId="86" xfId="0" applyNumberFormat="1" applyFont="1" applyFill="1" applyBorder="1" applyAlignment="1"/>
    <xf numFmtId="10" fontId="35" fillId="11" borderId="91" xfId="0" applyNumberFormat="1" applyFont="1" applyFill="1" applyBorder="1" applyAlignment="1"/>
    <xf numFmtId="168" fontId="0" fillId="7" borderId="31" xfId="1" applyNumberFormat="1" applyFont="1" applyFill="1" applyBorder="1"/>
    <xf numFmtId="168" fontId="0" fillId="7" borderId="100" xfId="1" applyNumberFormat="1" applyFont="1" applyFill="1" applyBorder="1"/>
    <xf numFmtId="168" fontId="0" fillId="7" borderId="0" xfId="1" applyNumberFormat="1" applyFont="1" applyFill="1" applyBorder="1"/>
    <xf numFmtId="168" fontId="0" fillId="7" borderId="101" xfId="1" applyNumberFormat="1" applyFont="1" applyFill="1" applyBorder="1"/>
    <xf numFmtId="168" fontId="35" fillId="7" borderId="57" xfId="1" applyNumberFormat="1" applyFont="1" applyFill="1" applyBorder="1"/>
    <xf numFmtId="168" fontId="35" fillId="7" borderId="92" xfId="1" applyNumberFormat="1" applyFont="1" applyFill="1" applyBorder="1"/>
    <xf numFmtId="0" fontId="0" fillId="11" borderId="27" xfId="0" applyFill="1" applyBorder="1" applyAlignment="1">
      <alignment horizontal="center" vertical="center" wrapText="1"/>
    </xf>
    <xf numFmtId="0" fontId="0" fillId="11" borderId="29" xfId="0" applyFill="1" applyBorder="1" applyAlignment="1">
      <alignment horizontal="center"/>
    </xf>
    <xf numFmtId="10" fontId="0" fillId="0" borderId="59" xfId="1" applyNumberFormat="1" applyFont="1" applyFill="1" applyBorder="1"/>
    <xf numFmtId="10" fontId="0" fillId="0" borderId="0" xfId="1" applyNumberFormat="1" applyFont="1" applyFill="1" applyBorder="1"/>
    <xf numFmtId="0" fontId="0" fillId="8" borderId="40" xfId="0" applyFill="1" applyBorder="1" applyAlignment="1">
      <alignment horizontal="center" vertical="center"/>
    </xf>
    <xf numFmtId="0" fontId="23" fillId="8" borderId="100" xfId="7" applyFont="1" applyFill="1" applyBorder="1" applyAlignment="1">
      <alignment horizontal="left" vertical="center" wrapText="1" indent="1"/>
    </xf>
    <xf numFmtId="10" fontId="0" fillId="8" borderId="98" xfId="1" applyNumberFormat="1" applyFont="1" applyFill="1" applyBorder="1"/>
    <xf numFmtId="10" fontId="0" fillId="8" borderId="32" xfId="1" applyNumberFormat="1" applyFont="1" applyFill="1" applyBorder="1"/>
    <xf numFmtId="168" fontId="0" fillId="8" borderId="100" xfId="1" applyNumberFormat="1" applyFont="1" applyFill="1" applyBorder="1"/>
    <xf numFmtId="0" fontId="0" fillId="8" borderId="48" xfId="0" applyFill="1" applyBorder="1" applyAlignment="1">
      <alignment horizontal="center" vertical="center"/>
    </xf>
    <xf numFmtId="0" fontId="23" fillId="8" borderId="102" xfId="7" applyFont="1" applyFill="1" applyBorder="1" applyAlignment="1">
      <alignment horizontal="left" vertical="center" wrapText="1" indent="1"/>
    </xf>
    <xf numFmtId="10" fontId="0" fillId="8" borderId="59" xfId="1" applyNumberFormat="1" applyFont="1" applyFill="1" applyBorder="1"/>
    <xf numFmtId="10" fontId="0" fillId="8" borderId="99" xfId="1" applyNumberFormat="1" applyFont="1" applyFill="1" applyBorder="1"/>
    <xf numFmtId="10" fontId="0" fillId="8" borderId="0" xfId="1" applyNumberFormat="1" applyFont="1" applyFill="1" applyBorder="1"/>
    <xf numFmtId="168" fontId="0" fillId="8" borderId="101" xfId="1" applyNumberFormat="1" applyFont="1" applyFill="1" applyBorder="1"/>
    <xf numFmtId="10" fontId="35" fillId="8" borderId="91" xfId="1" applyNumberFormat="1" applyFont="1" applyFill="1" applyBorder="1"/>
    <xf numFmtId="10" fontId="35" fillId="8" borderId="57" xfId="1" applyNumberFormat="1" applyFont="1" applyFill="1" applyBorder="1"/>
    <xf numFmtId="168" fontId="35" fillId="8" borderId="92" xfId="1" applyNumberFormat="1" applyFont="1" applyFill="1" applyBorder="1"/>
    <xf numFmtId="0" fontId="0" fillId="8" borderId="31" xfId="0" applyFill="1" applyBorder="1" applyAlignment="1">
      <alignment horizontal="center" vertical="center"/>
    </xf>
    <xf numFmtId="0" fontId="35" fillId="8" borderId="86" xfId="0" applyFont="1" applyFill="1" applyBorder="1" applyAlignment="1">
      <alignment horizontal="center"/>
    </xf>
    <xf numFmtId="0" fontId="35" fillId="8" borderId="92" xfId="0" applyFont="1" applyFill="1" applyBorder="1" applyAlignment="1">
      <alignment horizontal="center"/>
    </xf>
    <xf numFmtId="0" fontId="35" fillId="0" borderId="40" xfId="0" applyFont="1" applyFill="1" applyBorder="1"/>
    <xf numFmtId="10" fontId="35" fillId="0" borderId="59" xfId="1" applyNumberFormat="1" applyFont="1" applyFill="1" applyBorder="1"/>
    <xf numFmtId="10" fontId="35" fillId="0" borderId="0" xfId="1" applyNumberFormat="1" applyFont="1" applyFill="1" applyBorder="1"/>
    <xf numFmtId="3" fontId="0" fillId="8" borderId="31" xfId="0" applyNumberFormat="1" applyFill="1" applyBorder="1"/>
    <xf numFmtId="3" fontId="0" fillId="8" borderId="40" xfId="0" applyNumberFormat="1" applyFill="1" applyBorder="1"/>
    <xf numFmtId="3" fontId="35" fillId="8" borderId="86" xfId="0" applyNumberFormat="1" applyFont="1" applyFill="1" applyBorder="1"/>
    <xf numFmtId="3" fontId="0" fillId="0" borderId="0" xfId="0" applyNumberFormat="1"/>
    <xf numFmtId="3" fontId="0" fillId="8" borderId="48" xfId="0" applyNumberFormat="1" applyFill="1" applyBorder="1"/>
    <xf numFmtId="3" fontId="35" fillId="8" borderId="57" xfId="0" applyNumberFormat="1" applyFont="1" applyFill="1" applyBorder="1"/>
    <xf numFmtId="0" fontId="0" fillId="9" borderId="40" xfId="0" applyFill="1" applyBorder="1" applyAlignment="1">
      <alignment horizontal="center" vertical="center"/>
    </xf>
    <xf numFmtId="0" fontId="23" fillId="9" borderId="100" xfId="7" applyFont="1" applyFill="1" applyBorder="1" applyAlignment="1">
      <alignment horizontal="left" vertical="center" wrapText="1" indent="1"/>
    </xf>
    <xf numFmtId="0" fontId="0" fillId="9" borderId="31" xfId="0" applyFill="1" applyBorder="1"/>
    <xf numFmtId="10" fontId="0" fillId="9" borderId="98" xfId="1" applyNumberFormat="1" applyFont="1" applyFill="1" applyBorder="1"/>
    <xf numFmtId="0" fontId="0" fillId="9" borderId="0" xfId="0" applyFill="1" applyBorder="1"/>
    <xf numFmtId="0" fontId="0" fillId="9" borderId="32" xfId="0" applyFill="1" applyBorder="1"/>
    <xf numFmtId="10" fontId="0" fillId="9" borderId="32" xfId="1" applyNumberFormat="1" applyFont="1" applyFill="1" applyBorder="1"/>
    <xf numFmtId="168" fontId="0" fillId="9" borderId="31" xfId="1" applyNumberFormat="1" applyFont="1" applyFill="1" applyBorder="1"/>
    <xf numFmtId="168" fontId="0" fillId="9" borderId="100" xfId="1" applyNumberFormat="1" applyFont="1" applyFill="1" applyBorder="1"/>
    <xf numFmtId="0" fontId="23" fillId="9" borderId="101" xfId="7" applyFont="1" applyFill="1" applyBorder="1" applyAlignment="1">
      <alignment horizontal="left" vertical="center" wrapText="1" indent="1"/>
    </xf>
    <xf numFmtId="0" fontId="0" fillId="9" borderId="40" xfId="0" applyFill="1" applyBorder="1"/>
    <xf numFmtId="10" fontId="0" fillId="9" borderId="59" xfId="1" applyNumberFormat="1" applyFont="1" applyFill="1" applyBorder="1"/>
    <xf numFmtId="10" fontId="0" fillId="9" borderId="0" xfId="1" applyNumberFormat="1" applyFont="1" applyFill="1" applyBorder="1"/>
    <xf numFmtId="168" fontId="0" fillId="9" borderId="0" xfId="1" applyNumberFormat="1" applyFont="1" applyFill="1" applyBorder="1"/>
    <xf numFmtId="168" fontId="0" fillId="9" borderId="101" xfId="1" applyNumberFormat="1" applyFont="1" applyFill="1" applyBorder="1"/>
    <xf numFmtId="0" fontId="0" fillId="9" borderId="48" xfId="0" applyFill="1" applyBorder="1" applyAlignment="1">
      <alignment horizontal="center" vertical="center"/>
    </xf>
    <xf numFmtId="0" fontId="23" fillId="9" borderId="102" xfId="7" applyFont="1" applyFill="1" applyBorder="1" applyAlignment="1">
      <alignment horizontal="left" vertical="center" wrapText="1" indent="1"/>
    </xf>
    <xf numFmtId="0" fontId="0" fillId="9" borderId="48" xfId="0" applyFill="1" applyBorder="1"/>
    <xf numFmtId="0" fontId="0" fillId="9" borderId="49" xfId="0" applyFill="1" applyBorder="1"/>
    <xf numFmtId="10" fontId="0" fillId="9" borderId="99" xfId="1" applyNumberFormat="1" applyFont="1" applyFill="1" applyBorder="1"/>
    <xf numFmtId="0" fontId="35" fillId="9" borderId="86" xfId="0" applyFont="1" applyFill="1" applyBorder="1"/>
    <xf numFmtId="10" fontId="35" fillId="9" borderId="91" xfId="1" applyNumberFormat="1" applyFont="1" applyFill="1" applyBorder="1"/>
    <xf numFmtId="0" fontId="35" fillId="9" borderId="57" xfId="0" applyFont="1" applyFill="1" applyBorder="1"/>
    <xf numFmtId="10" fontId="35" fillId="9" borderId="57" xfId="1" applyNumberFormat="1" applyFont="1" applyFill="1" applyBorder="1"/>
    <xf numFmtId="168" fontId="35" fillId="9" borderId="57" xfId="1" applyNumberFormat="1" applyFont="1" applyFill="1" applyBorder="1"/>
    <xf numFmtId="168" fontId="35" fillId="9" borderId="92" xfId="1" applyNumberFormat="1" applyFont="1" applyFill="1" applyBorder="1"/>
    <xf numFmtId="10" fontId="35" fillId="11" borderId="100" xfId="0" applyNumberFormat="1" applyFont="1" applyFill="1" applyBorder="1" applyAlignment="1">
      <alignment vertical="center" wrapText="1"/>
    </xf>
    <xf numFmtId="10" fontId="35" fillId="11" borderId="57" xfId="0" applyNumberFormat="1" applyFont="1" applyFill="1" applyBorder="1" applyAlignment="1"/>
    <xf numFmtId="0" fontId="35" fillId="9" borderId="1" xfId="0" applyFont="1" applyFill="1" applyBorder="1" applyAlignment="1">
      <alignment horizontal="center"/>
    </xf>
    <xf numFmtId="0" fontId="35" fillId="9" borderId="92" xfId="0" applyFont="1" applyFill="1" applyBorder="1" applyAlignment="1">
      <alignment horizontal="center"/>
    </xf>
    <xf numFmtId="0" fontId="0" fillId="9" borderId="100" xfId="0" applyFill="1" applyBorder="1" applyAlignment="1">
      <alignment horizontal="center" vertical="center"/>
    </xf>
    <xf numFmtId="0" fontId="0" fillId="9" borderId="101" xfId="0" applyFill="1" applyBorder="1" applyAlignment="1">
      <alignment horizontal="center" vertical="center"/>
    </xf>
    <xf numFmtId="0" fontId="0" fillId="9" borderId="102" xfId="0" applyFill="1" applyBorder="1" applyAlignment="1">
      <alignment horizontal="center" vertical="center"/>
    </xf>
    <xf numFmtId="3" fontId="0" fillId="9" borderId="31" xfId="0" applyNumberFormat="1" applyFill="1" applyBorder="1"/>
    <xf numFmtId="3" fontId="0" fillId="9" borderId="40" xfId="0" applyNumberFormat="1" applyFill="1" applyBorder="1"/>
    <xf numFmtId="3" fontId="35" fillId="9" borderId="86" xfId="0" applyNumberFormat="1" applyFont="1" applyFill="1" applyBorder="1"/>
    <xf numFmtId="3" fontId="0" fillId="9" borderId="32" xfId="0" applyNumberFormat="1" applyFill="1" applyBorder="1"/>
    <xf numFmtId="3" fontId="0" fillId="9" borderId="0" xfId="0" applyNumberFormat="1" applyFill="1" applyBorder="1"/>
    <xf numFmtId="3" fontId="0" fillId="9" borderId="48" xfId="0" applyNumberFormat="1" applyFill="1" applyBorder="1"/>
    <xf numFmtId="3" fontId="0" fillId="9" borderId="49" xfId="0" applyNumberFormat="1" applyFill="1" applyBorder="1"/>
    <xf numFmtId="3" fontId="35" fillId="9" borderId="57" xfId="0" applyNumberFormat="1" applyFont="1" applyFill="1" applyBorder="1"/>
    <xf numFmtId="168" fontId="35" fillId="11" borderId="96" xfId="1" applyNumberFormat="1" applyFont="1" applyFill="1" applyBorder="1" applyAlignment="1">
      <alignment vertical="center" wrapText="1"/>
    </xf>
    <xf numFmtId="0" fontId="0" fillId="10" borderId="40" xfId="0" applyFill="1" applyBorder="1" applyAlignment="1">
      <alignment horizontal="center" vertical="center"/>
    </xf>
    <xf numFmtId="0" fontId="23" fillId="10" borderId="100" xfId="7" applyFont="1" applyFill="1" applyBorder="1" applyAlignment="1">
      <alignment horizontal="left" vertical="center" wrapText="1" indent="1"/>
    </xf>
    <xf numFmtId="10" fontId="0" fillId="10" borderId="98" xfId="1" applyNumberFormat="1" applyFont="1" applyFill="1" applyBorder="1"/>
    <xf numFmtId="10" fontId="0" fillId="10" borderId="32" xfId="1" applyNumberFormat="1" applyFont="1" applyFill="1" applyBorder="1"/>
    <xf numFmtId="168" fontId="0" fillId="10" borderId="31" xfId="1" applyNumberFormat="1" applyFont="1" applyFill="1" applyBorder="1"/>
    <xf numFmtId="168" fontId="0" fillId="10" borderId="100" xfId="1" applyNumberFormat="1" applyFont="1" applyFill="1" applyBorder="1"/>
    <xf numFmtId="0" fontId="23" fillId="10" borderId="101" xfId="7" applyFont="1" applyFill="1" applyBorder="1" applyAlignment="1">
      <alignment horizontal="left" vertical="center" wrapText="1" indent="1"/>
    </xf>
    <xf numFmtId="10" fontId="0" fillId="10" borderId="59" xfId="1" applyNumberFormat="1" applyFont="1" applyFill="1" applyBorder="1"/>
    <xf numFmtId="10" fontId="0" fillId="10" borderId="0" xfId="1" applyNumberFormat="1" applyFont="1" applyFill="1" applyBorder="1"/>
    <xf numFmtId="168" fontId="0" fillId="10" borderId="0" xfId="1" applyNumberFormat="1" applyFont="1" applyFill="1" applyBorder="1"/>
    <xf numFmtId="168" fontId="0" fillId="10" borderId="101" xfId="1" applyNumberFormat="1" applyFont="1" applyFill="1" applyBorder="1"/>
    <xf numFmtId="0" fontId="0" fillId="10" borderId="48" xfId="0" applyFill="1" applyBorder="1" applyAlignment="1">
      <alignment horizontal="center" vertical="center"/>
    </xf>
    <xf numFmtId="0" fontId="23" fillId="10" borderId="102" xfId="7" applyFont="1" applyFill="1" applyBorder="1" applyAlignment="1">
      <alignment horizontal="left" vertical="center" wrapText="1" indent="1"/>
    </xf>
    <xf numFmtId="10" fontId="0" fillId="10" borderId="99" xfId="1" applyNumberFormat="1" applyFont="1" applyFill="1" applyBorder="1"/>
    <xf numFmtId="10" fontId="35" fillId="10" borderId="91" xfId="1" applyNumberFormat="1" applyFont="1" applyFill="1" applyBorder="1"/>
    <xf numFmtId="10" fontId="35" fillId="10" borderId="57" xfId="1" applyNumberFormat="1" applyFont="1" applyFill="1" applyBorder="1"/>
    <xf numFmtId="168" fontId="35" fillId="10" borderId="57" xfId="1" applyNumberFormat="1" applyFont="1" applyFill="1" applyBorder="1"/>
    <xf numFmtId="168" fontId="35" fillId="10" borderId="92" xfId="1" applyNumberFormat="1" applyFont="1" applyFill="1" applyBorder="1"/>
    <xf numFmtId="0" fontId="35" fillId="10" borderId="86" xfId="0" applyFont="1" applyFill="1" applyBorder="1" applyAlignment="1">
      <alignment horizontal="center"/>
    </xf>
    <xf numFmtId="0" fontId="0" fillId="10" borderId="31" xfId="0" applyFill="1" applyBorder="1" applyAlignment="1">
      <alignment horizontal="center" vertical="center"/>
    </xf>
    <xf numFmtId="0" fontId="35" fillId="10" borderId="92" xfId="0" applyFont="1" applyFill="1" applyBorder="1" applyAlignment="1">
      <alignment horizontal="center"/>
    </xf>
    <xf numFmtId="3" fontId="0" fillId="10" borderId="31" xfId="0" applyNumberFormat="1" applyFill="1" applyBorder="1"/>
    <xf numFmtId="3" fontId="0" fillId="10" borderId="40" xfId="0" applyNumberFormat="1" applyFill="1" applyBorder="1"/>
    <xf numFmtId="3" fontId="35" fillId="10" borderId="86" xfId="0" applyNumberFormat="1" applyFont="1" applyFill="1" applyBorder="1"/>
    <xf numFmtId="3" fontId="0" fillId="10" borderId="0" xfId="0" applyNumberFormat="1" applyFill="1" applyBorder="1"/>
    <xf numFmtId="3" fontId="0" fillId="10" borderId="32" xfId="0" applyNumberFormat="1" applyFill="1" applyBorder="1"/>
    <xf numFmtId="3" fontId="0" fillId="10" borderId="48" xfId="0" applyNumberFormat="1" applyFill="1" applyBorder="1"/>
    <xf numFmtId="3" fontId="0" fillId="10" borderId="49" xfId="0" applyNumberFormat="1" applyFill="1" applyBorder="1"/>
    <xf numFmtId="3" fontId="35" fillId="10" borderId="57" xfId="0" applyNumberFormat="1" applyFont="1" applyFill="1" applyBorder="1"/>
    <xf numFmtId="9" fontId="35" fillId="11" borderId="96" xfId="0" applyNumberFormat="1" applyFont="1" applyFill="1" applyBorder="1" applyAlignment="1">
      <alignment vertical="center" wrapText="1"/>
    </xf>
    <xf numFmtId="9" fontId="35" fillId="11" borderId="9" xfId="0" applyNumberFormat="1" applyFont="1" applyFill="1" applyBorder="1" applyAlignment="1">
      <alignment vertical="center" wrapText="1"/>
    </xf>
    <xf numFmtId="0" fontId="38" fillId="0" borderId="0" xfId="7" applyFont="1" applyAlignment="1">
      <alignment horizontal="left" vertical="center"/>
    </xf>
    <xf numFmtId="0" fontId="2" fillId="0" borderId="0" xfId="7" applyFont="1" applyAlignment="1">
      <alignment horizontal="left" vertical="center"/>
    </xf>
    <xf numFmtId="0" fontId="39" fillId="0" borderId="0" xfId="7" applyFont="1" applyAlignment="1">
      <alignment horizontal="center" vertical="center"/>
    </xf>
    <xf numFmtId="0" fontId="7" fillId="0" borderId="0" xfId="6"/>
    <xf numFmtId="0" fontId="23" fillId="0" borderId="15" xfId="7" applyFont="1" applyBorder="1" applyAlignment="1">
      <alignment horizontal="left" vertical="center" wrapText="1" indent="1"/>
    </xf>
    <xf numFmtId="3" fontId="23" fillId="0" borderId="15" xfId="7" applyNumberFormat="1" applyFont="1" applyBorder="1" applyAlignment="1">
      <alignment horizontal="right" vertical="center" wrapText="1" indent="1"/>
    </xf>
    <xf numFmtId="3" fontId="23" fillId="0" borderId="15" xfId="7" applyNumberFormat="1" applyFont="1" applyBorder="1" applyAlignment="1">
      <alignment horizontal="center" vertical="center" wrapText="1"/>
    </xf>
    <xf numFmtId="0" fontId="23" fillId="0" borderId="0" xfId="7" applyFont="1" applyAlignment="1">
      <alignment vertical="center"/>
    </xf>
    <xf numFmtId="0" fontId="23" fillId="0" borderId="0" xfId="7" applyFont="1" applyBorder="1" applyAlignment="1">
      <alignment horizontal="left" vertical="center" wrapText="1" indent="1"/>
    </xf>
    <xf numFmtId="3" fontId="23" fillId="0" borderId="0" xfId="7" applyNumberFormat="1" applyFont="1" applyBorder="1" applyAlignment="1">
      <alignment horizontal="left" vertical="center" wrapText="1" indent="1"/>
    </xf>
    <xf numFmtId="0" fontId="40" fillId="0" borderId="0" xfId="7" applyFont="1" applyAlignment="1">
      <alignment vertical="center"/>
    </xf>
    <xf numFmtId="0" fontId="9" fillId="0" borderId="1" xfId="7" applyFont="1" applyBorder="1" applyAlignment="1">
      <alignment horizontal="center" vertical="center" wrapText="1"/>
    </xf>
    <xf numFmtId="0" fontId="9" fillId="0" borderId="4" xfId="7" applyFont="1" applyBorder="1" applyAlignment="1">
      <alignment horizontal="center" vertical="center" wrapText="1"/>
    </xf>
    <xf numFmtId="0" fontId="9" fillId="0" borderId="83" xfId="7" applyFont="1" applyBorder="1" applyAlignment="1">
      <alignment horizontal="center" vertical="center" wrapText="1"/>
    </xf>
    <xf numFmtId="3" fontId="17" fillId="0" borderId="4" xfId="7" applyNumberFormat="1" applyFont="1" applyBorder="1" applyAlignment="1">
      <alignment horizontal="center" vertical="center" wrapText="1"/>
    </xf>
    <xf numFmtId="0" fontId="23" fillId="0" borderId="103" xfId="7" applyFont="1" applyBorder="1" applyAlignment="1">
      <alignment horizontal="center" vertical="center" wrapText="1"/>
    </xf>
    <xf numFmtId="0" fontId="23" fillId="0" borderId="104" xfId="7" applyFont="1" applyBorder="1" applyAlignment="1">
      <alignment horizontal="left" vertical="center" wrapText="1" indent="1"/>
    </xf>
    <xf numFmtId="3" fontId="23" fillId="0" borderId="105" xfId="7" applyNumberFormat="1" applyFont="1" applyBorder="1" applyAlignment="1">
      <alignment horizontal="right" vertical="center" wrapText="1" indent="1"/>
    </xf>
    <xf numFmtId="3" fontId="23" fillId="0" borderId="106" xfId="7" applyNumberFormat="1" applyFont="1" applyBorder="1" applyAlignment="1">
      <alignment horizontal="right" vertical="center" wrapText="1" indent="1"/>
    </xf>
    <xf numFmtId="3" fontId="23" fillId="0" borderId="104" xfId="7" applyNumberFormat="1" applyFont="1" applyBorder="1" applyAlignment="1">
      <alignment horizontal="right" vertical="center" wrapText="1" indent="1"/>
    </xf>
    <xf numFmtId="0" fontId="23" fillId="0" borderId="107" xfId="7" applyFont="1" applyBorder="1" applyAlignment="1">
      <alignment horizontal="center" vertical="center" wrapText="1"/>
    </xf>
    <xf numFmtId="0" fontId="23" fillId="0" borderId="108" xfId="7" applyFont="1" applyBorder="1" applyAlignment="1">
      <alignment horizontal="left" vertical="center" wrapText="1" indent="1"/>
    </xf>
    <xf numFmtId="3" fontId="23" fillId="0" borderId="109" xfId="7" applyNumberFormat="1" applyFont="1" applyBorder="1" applyAlignment="1">
      <alignment horizontal="right" vertical="center" wrapText="1" indent="1"/>
    </xf>
    <xf numFmtId="3" fontId="23" fillId="0" borderId="110" xfId="7" applyNumberFormat="1" applyFont="1" applyBorder="1" applyAlignment="1">
      <alignment horizontal="right" vertical="center" wrapText="1" indent="1"/>
    </xf>
    <xf numFmtId="0" fontId="9" fillId="0" borderId="1" xfId="7" applyFont="1" applyBorder="1" applyAlignment="1">
      <alignment vertical="center"/>
    </xf>
    <xf numFmtId="0" fontId="9" fillId="0" borderId="4" xfId="7" applyFont="1" applyBorder="1" applyAlignment="1">
      <alignment horizontal="left" vertical="center" indent="1"/>
    </xf>
    <xf numFmtId="3" fontId="9" fillId="0" borderId="83" xfId="7" applyNumberFormat="1" applyFont="1" applyBorder="1" applyAlignment="1">
      <alignment horizontal="right" vertical="center" indent="1"/>
    </xf>
    <xf numFmtId="3" fontId="17" fillId="0" borderId="111" xfId="7" applyNumberFormat="1" applyFont="1" applyBorder="1" applyAlignment="1">
      <alignment horizontal="right" vertical="center" indent="1"/>
    </xf>
    <xf numFmtId="0" fontId="7" fillId="0" borderId="0" xfId="0" applyFont="1"/>
    <xf numFmtId="0" fontId="4" fillId="0" borderId="0" xfId="10" applyFont="1"/>
    <xf numFmtId="0" fontId="23" fillId="0" borderId="0" xfId="10" applyFont="1"/>
    <xf numFmtId="0" fontId="43" fillId="0" borderId="0" xfId="10" applyFont="1"/>
    <xf numFmtId="0" fontId="1" fillId="0" borderId="0" xfId="10"/>
    <xf numFmtId="0" fontId="17" fillId="0" borderId="0" xfId="10" applyFont="1"/>
    <xf numFmtId="3" fontId="17" fillId="0" borderId="0" xfId="10" applyNumberFormat="1" applyFont="1"/>
    <xf numFmtId="0" fontId="1" fillId="0" borderId="0" xfId="10" applyBorder="1"/>
    <xf numFmtId="0" fontId="1" fillId="0" borderId="0" xfId="10" applyAlignment="1">
      <alignment horizontal="right"/>
    </xf>
    <xf numFmtId="3" fontId="23" fillId="0" borderId="13" xfId="10" applyNumberFormat="1" applyFont="1" applyBorder="1" applyAlignment="1">
      <alignment horizontal="right" vertical="center" indent="1"/>
    </xf>
    <xf numFmtId="3" fontId="23" fillId="0" borderId="22" xfId="10" applyNumberFormat="1" applyFont="1" applyBorder="1" applyAlignment="1">
      <alignment horizontal="right" vertical="center" indent="1"/>
    </xf>
    <xf numFmtId="3" fontId="17" fillId="13" borderId="112" xfId="10" applyNumberFormat="1" applyFont="1" applyFill="1" applyBorder="1" applyAlignment="1">
      <alignment horizontal="right" vertical="center" indent="1"/>
    </xf>
    <xf numFmtId="3" fontId="17" fillId="12" borderId="112" xfId="10" applyNumberFormat="1" applyFont="1" applyFill="1" applyBorder="1" applyAlignment="1">
      <alignment horizontal="right" vertical="center" indent="1"/>
    </xf>
    <xf numFmtId="3" fontId="17" fillId="14" borderId="112" xfId="10" applyNumberFormat="1" applyFont="1" applyFill="1" applyBorder="1" applyAlignment="1">
      <alignment horizontal="right" vertical="center" indent="1"/>
    </xf>
    <xf numFmtId="10" fontId="10" fillId="0" borderId="19" xfId="9" applyNumberFormat="1" applyFont="1" applyFill="1" applyBorder="1" applyAlignment="1">
      <alignment horizontal="right" vertical="center" indent="1"/>
    </xf>
    <xf numFmtId="3" fontId="17" fillId="15" borderId="112" xfId="10" applyNumberFormat="1" applyFont="1" applyFill="1" applyBorder="1" applyAlignment="1">
      <alignment horizontal="right" vertical="center" indent="1"/>
    </xf>
    <xf numFmtId="3" fontId="23" fillId="0" borderId="68" xfId="10" applyNumberFormat="1" applyFont="1" applyBorder="1" applyAlignment="1">
      <alignment horizontal="right" vertical="center" indent="1"/>
    </xf>
    <xf numFmtId="3" fontId="17" fillId="15" borderId="113" xfId="10" applyNumberFormat="1" applyFont="1" applyFill="1" applyBorder="1" applyAlignment="1">
      <alignment horizontal="right" vertical="center" indent="1"/>
    </xf>
    <xf numFmtId="3" fontId="17" fillId="0" borderId="4" xfId="10" applyNumberFormat="1" applyFont="1" applyBorder="1" applyAlignment="1">
      <alignment horizontal="right" vertical="center" indent="1"/>
    </xf>
    <xf numFmtId="10" fontId="17" fillId="0" borderId="83" xfId="10" applyNumberFormat="1" applyFont="1" applyBorder="1" applyAlignment="1">
      <alignment horizontal="right" vertical="center" indent="1"/>
    </xf>
    <xf numFmtId="3" fontId="17" fillId="0" borderId="92" xfId="10" applyNumberFormat="1" applyFont="1" applyBorder="1" applyAlignment="1">
      <alignment horizontal="right" vertical="center" indent="1"/>
    </xf>
    <xf numFmtId="0" fontId="44" fillId="0" borderId="0" xfId="10" applyFont="1"/>
    <xf numFmtId="3" fontId="1" fillId="0" borderId="0" xfId="10" applyNumberFormat="1"/>
    <xf numFmtId="168" fontId="17" fillId="0" borderId="0" xfId="1" applyNumberFormat="1" applyFont="1"/>
    <xf numFmtId="168" fontId="17" fillId="0" borderId="0" xfId="1" applyNumberFormat="1" applyFont="1" applyBorder="1"/>
    <xf numFmtId="0" fontId="23" fillId="0" borderId="23" xfId="10" applyFont="1" applyBorder="1" applyAlignment="1">
      <alignment horizontal="center" vertical="center"/>
    </xf>
    <xf numFmtId="0" fontId="23" fillId="0" borderId="87" xfId="10" applyFont="1" applyBorder="1" applyAlignment="1">
      <alignment horizontal="center" vertical="center"/>
    </xf>
    <xf numFmtId="10" fontId="10" fillId="0" borderId="88" xfId="9" applyNumberFormat="1" applyFont="1" applyFill="1" applyBorder="1" applyAlignment="1">
      <alignment horizontal="right" vertical="center" indent="1"/>
    </xf>
    <xf numFmtId="0" fontId="23" fillId="0" borderId="13" xfId="7" applyFont="1" applyBorder="1" applyAlignment="1">
      <alignment horizontal="left" vertical="center" wrapText="1" indent="1"/>
    </xf>
    <xf numFmtId="0" fontId="23" fillId="0" borderId="22" xfId="7" applyFont="1" applyBorder="1" applyAlignment="1">
      <alignment horizontal="left" vertical="center" wrapText="1" indent="1"/>
    </xf>
    <xf numFmtId="10" fontId="23" fillId="0" borderId="87" xfId="10" applyNumberFormat="1" applyFont="1" applyBorder="1" applyAlignment="1">
      <alignment horizontal="right" vertical="center" indent="1"/>
    </xf>
    <xf numFmtId="10" fontId="23" fillId="0" borderId="23" xfId="10" applyNumberFormat="1" applyFont="1" applyBorder="1" applyAlignment="1">
      <alignment horizontal="right" vertical="center" indent="1"/>
    </xf>
    <xf numFmtId="3" fontId="17" fillId="12" borderId="114" xfId="10" applyNumberFormat="1" applyFont="1" applyFill="1" applyBorder="1" applyAlignment="1">
      <alignment horizontal="right" vertical="center" indent="1"/>
    </xf>
    <xf numFmtId="0" fontId="23" fillId="0" borderId="62" xfId="10" applyFont="1" applyBorder="1" applyAlignment="1">
      <alignment horizontal="center" vertical="center"/>
    </xf>
    <xf numFmtId="0" fontId="23" fillId="0" borderId="68" xfId="7" applyFont="1" applyBorder="1" applyAlignment="1">
      <alignment horizontal="left" vertical="center" wrapText="1" indent="1"/>
    </xf>
    <xf numFmtId="10" fontId="10" fillId="0" borderId="66" xfId="9" applyNumberFormat="1" applyFont="1" applyFill="1" applyBorder="1" applyAlignment="1">
      <alignment horizontal="right" vertical="center" indent="1"/>
    </xf>
    <xf numFmtId="0" fontId="23" fillId="0" borderId="14" xfId="10" applyFont="1" applyBorder="1" applyAlignment="1">
      <alignment horizontal="center" vertical="center"/>
    </xf>
    <xf numFmtId="0" fontId="23" fillId="0" borderId="93" xfId="7" applyFont="1" applyBorder="1" applyAlignment="1">
      <alignment horizontal="left" vertical="center" wrapText="1" indent="1"/>
    </xf>
    <xf numFmtId="0" fontId="23" fillId="0" borderId="77" xfId="7" applyFont="1" applyBorder="1" applyAlignment="1">
      <alignment horizontal="left" vertical="center" wrapText="1" indent="1"/>
    </xf>
    <xf numFmtId="0" fontId="23" fillId="0" borderId="11" xfId="7" applyFont="1" applyBorder="1" applyAlignment="1">
      <alignment horizontal="left" vertical="center" wrapText="1" indent="1"/>
    </xf>
    <xf numFmtId="0" fontId="23" fillId="0" borderId="26" xfId="7" applyFont="1" applyBorder="1" applyAlignment="1">
      <alignment horizontal="left" vertical="center" wrapText="1" indent="1"/>
    </xf>
    <xf numFmtId="0" fontId="23" fillId="0" borderId="75" xfId="7" applyFont="1" applyBorder="1" applyAlignment="1">
      <alignment horizontal="left" vertical="center" wrapText="1" indent="1"/>
    </xf>
    <xf numFmtId="0" fontId="23" fillId="0" borderId="24" xfId="7" applyFont="1" applyBorder="1" applyAlignment="1">
      <alignment horizontal="left" vertical="center" wrapText="1" indent="1"/>
    </xf>
    <xf numFmtId="0" fontId="23" fillId="0" borderId="29" xfId="7" applyFont="1" applyBorder="1" applyAlignment="1">
      <alignment horizontal="left" vertical="center" wrapText="1" indent="1"/>
    </xf>
    <xf numFmtId="4" fontId="23" fillId="0" borderId="13" xfId="7" applyNumberFormat="1" applyFont="1" applyBorder="1" applyAlignment="1">
      <alignment horizontal="right" vertical="center" wrapText="1" indent="1"/>
    </xf>
    <xf numFmtId="4" fontId="23" fillId="0" borderId="22" xfId="7" applyNumberFormat="1" applyFont="1" applyBorder="1" applyAlignment="1">
      <alignment horizontal="right" vertical="center" wrapText="1" indent="1"/>
    </xf>
    <xf numFmtId="4" fontId="23" fillId="0" borderId="68" xfId="7" applyNumberFormat="1" applyFont="1" applyBorder="1" applyAlignment="1">
      <alignment horizontal="right" vertical="center" wrapText="1" indent="1"/>
    </xf>
    <xf numFmtId="4" fontId="17" fillId="0" borderId="92" xfId="0" applyNumberFormat="1" applyFont="1" applyBorder="1" applyAlignment="1">
      <alignment horizontal="right" indent="1"/>
    </xf>
    <xf numFmtId="4" fontId="23" fillId="0" borderId="0" xfId="0" applyNumberFormat="1" applyFont="1" applyAlignment="1">
      <alignment horizontal="right" indent="1"/>
    </xf>
    <xf numFmtId="169" fontId="23" fillId="0" borderId="0" xfId="0" applyNumberFormat="1" applyFont="1" applyAlignment="1">
      <alignment horizontal="right" indent="1"/>
    </xf>
    <xf numFmtId="0" fontId="17" fillId="0" borderId="0" xfId="10" applyFont="1" applyAlignment="1">
      <alignment horizontal="right"/>
    </xf>
    <xf numFmtId="0" fontId="17" fillId="0" borderId="0" xfId="10" applyFont="1" applyBorder="1" applyAlignment="1"/>
    <xf numFmtId="10" fontId="23" fillId="0" borderId="75" xfId="7" applyNumberFormat="1" applyFont="1" applyBorder="1" applyAlignment="1">
      <alignment horizontal="right" vertical="center" wrapText="1" indent="1"/>
    </xf>
    <xf numFmtId="10" fontId="23" fillId="0" borderId="77" xfId="7" applyNumberFormat="1" applyFont="1" applyBorder="1" applyAlignment="1">
      <alignment horizontal="right" vertical="center" wrapText="1" indent="1"/>
    </xf>
    <xf numFmtId="10" fontId="23" fillId="0" borderId="94" xfId="7" applyNumberFormat="1" applyFont="1" applyBorder="1" applyAlignment="1">
      <alignment horizontal="right" vertical="center" wrapText="1" indent="1"/>
    </xf>
    <xf numFmtId="10" fontId="17" fillId="0" borderId="91" xfId="0" applyNumberFormat="1" applyFont="1" applyBorder="1" applyAlignment="1">
      <alignment horizontal="right" indent="1"/>
    </xf>
    <xf numFmtId="4" fontId="23" fillId="0" borderId="23" xfId="7" applyNumberFormat="1" applyFont="1" applyBorder="1" applyAlignment="1">
      <alignment horizontal="right" vertical="center" wrapText="1" indent="1"/>
    </xf>
    <xf numFmtId="4" fontId="23" fillId="0" borderId="62" xfId="7" applyNumberFormat="1" applyFont="1" applyBorder="1" applyAlignment="1">
      <alignment horizontal="right" vertical="center" wrapText="1" indent="1"/>
    </xf>
    <xf numFmtId="4" fontId="17" fillId="0" borderId="1" xfId="0" applyNumberFormat="1" applyFont="1" applyBorder="1" applyAlignment="1">
      <alignment horizontal="right" indent="1"/>
    </xf>
    <xf numFmtId="4" fontId="23" fillId="0" borderId="77" xfId="7" applyNumberFormat="1" applyFont="1" applyBorder="1" applyAlignment="1">
      <alignment horizontal="right" vertical="center" wrapText="1" indent="1"/>
    </xf>
    <xf numFmtId="4" fontId="23" fillId="0" borderId="94" xfId="7" applyNumberFormat="1" applyFont="1" applyBorder="1" applyAlignment="1">
      <alignment horizontal="right" vertical="center" wrapText="1" indent="1"/>
    </xf>
    <xf numFmtId="4" fontId="23" fillId="0" borderId="10" xfId="7" applyNumberFormat="1" applyFont="1" applyBorder="1" applyAlignment="1">
      <alignment horizontal="right" vertical="center" wrapText="1" indent="1"/>
    </xf>
    <xf numFmtId="4" fontId="23" fillId="0" borderId="19" xfId="7" applyNumberFormat="1" applyFont="1" applyBorder="1" applyAlignment="1">
      <alignment horizontal="right" vertical="center" wrapText="1" indent="1"/>
    </xf>
    <xf numFmtId="4" fontId="23" fillId="0" borderId="66" xfId="7" applyNumberFormat="1" applyFont="1" applyBorder="1" applyAlignment="1">
      <alignment horizontal="right" vertical="center" wrapText="1" indent="1"/>
    </xf>
    <xf numFmtId="4" fontId="17" fillId="0" borderId="2" xfId="0" applyNumberFormat="1" applyFont="1" applyBorder="1" applyAlignment="1">
      <alignment horizontal="right" indent="1"/>
    </xf>
    <xf numFmtId="10" fontId="23" fillId="0" borderId="75" xfId="1" applyNumberFormat="1" applyFont="1" applyBorder="1" applyAlignment="1">
      <alignment horizontal="right" vertical="center" wrapText="1" indent="1"/>
    </xf>
    <xf numFmtId="10" fontId="23" fillId="0" borderId="77" xfId="1" applyNumberFormat="1" applyFont="1" applyBorder="1" applyAlignment="1">
      <alignment horizontal="right" vertical="center" wrapText="1" indent="1"/>
    </xf>
    <xf numFmtId="10" fontId="23" fillId="0" borderId="94" xfId="1" applyNumberFormat="1" applyFont="1" applyBorder="1" applyAlignment="1">
      <alignment horizontal="right" vertical="center" wrapText="1" indent="1"/>
    </xf>
    <xf numFmtId="10" fontId="17" fillId="0" borderId="91" xfId="1" applyNumberFormat="1" applyFont="1" applyBorder="1" applyAlignment="1">
      <alignment horizontal="right" indent="1"/>
    </xf>
    <xf numFmtId="10" fontId="23" fillId="0" borderId="14" xfId="1" applyNumberFormat="1" applyFont="1" applyBorder="1" applyAlignment="1">
      <alignment horizontal="right" vertical="center" wrapText="1" indent="1"/>
    </xf>
    <xf numFmtId="10" fontId="23" fillId="0" borderId="23" xfId="1" applyNumberFormat="1" applyFont="1" applyBorder="1" applyAlignment="1">
      <alignment horizontal="right" vertical="center" wrapText="1" indent="1"/>
    </xf>
    <xf numFmtId="10" fontId="23" fillId="0" borderId="25" xfId="1" applyNumberFormat="1" applyFont="1" applyBorder="1" applyAlignment="1">
      <alignment horizontal="right" vertical="center" wrapText="1" indent="1"/>
    </xf>
    <xf numFmtId="10" fontId="17" fillId="0" borderId="86" xfId="1" applyNumberFormat="1" applyFont="1" applyBorder="1" applyAlignment="1">
      <alignment horizontal="right" indent="1"/>
    </xf>
    <xf numFmtId="3" fontId="23" fillId="0" borderId="14" xfId="1" applyNumberFormat="1" applyFont="1" applyBorder="1" applyAlignment="1">
      <alignment horizontal="right" vertical="center" wrapText="1" indent="1"/>
    </xf>
    <xf numFmtId="3" fontId="23" fillId="0" borderId="23" xfId="1" applyNumberFormat="1" applyFont="1" applyBorder="1" applyAlignment="1">
      <alignment horizontal="right" vertical="center" wrapText="1" indent="1"/>
    </xf>
    <xf numFmtId="3" fontId="23" fillId="0" borderId="62" xfId="1" applyNumberFormat="1" applyFont="1" applyBorder="1" applyAlignment="1">
      <alignment horizontal="right" vertical="center" wrapText="1" indent="1"/>
    </xf>
    <xf numFmtId="3" fontId="17" fillId="0" borderId="1" xfId="1" applyNumberFormat="1" applyFont="1" applyBorder="1" applyAlignment="1">
      <alignment horizontal="right" indent="1"/>
    </xf>
    <xf numFmtId="3" fontId="23" fillId="0" borderId="14" xfId="7" applyNumberFormat="1" applyFont="1" applyBorder="1" applyAlignment="1">
      <alignment horizontal="right" vertical="center" wrapText="1" indent="1"/>
    </xf>
    <xf numFmtId="3" fontId="23" fillId="0" borderId="23" xfId="7" applyNumberFormat="1" applyFont="1" applyBorder="1" applyAlignment="1">
      <alignment horizontal="right" vertical="center" wrapText="1" indent="1"/>
    </xf>
    <xf numFmtId="3" fontId="23" fillId="0" borderId="62" xfId="7" applyNumberFormat="1" applyFont="1" applyBorder="1" applyAlignment="1">
      <alignment horizontal="right" vertical="center" wrapText="1" indent="1"/>
    </xf>
    <xf numFmtId="3" fontId="17" fillId="0" borderId="1" xfId="0" applyNumberFormat="1" applyFont="1" applyBorder="1" applyAlignment="1">
      <alignment horizontal="right" indent="1"/>
    </xf>
    <xf numFmtId="3" fontId="23" fillId="0" borderId="11" xfId="1" applyNumberFormat="1" applyFont="1" applyBorder="1" applyAlignment="1">
      <alignment horizontal="right" vertical="center" wrapText="1" indent="1"/>
    </xf>
    <xf numFmtId="3" fontId="23" fillId="0" borderId="15" xfId="1" applyNumberFormat="1" applyFont="1" applyBorder="1" applyAlignment="1">
      <alignment horizontal="right" vertical="center" wrapText="1" indent="1"/>
    </xf>
    <xf numFmtId="3" fontId="23" fillId="0" borderId="63" xfId="1" applyNumberFormat="1" applyFont="1" applyBorder="1" applyAlignment="1">
      <alignment horizontal="right" vertical="center" wrapText="1" indent="1"/>
    </xf>
    <xf numFmtId="3" fontId="17" fillId="0" borderId="2" xfId="1" applyNumberFormat="1" applyFont="1" applyBorder="1" applyAlignment="1">
      <alignment horizontal="right" indent="1"/>
    </xf>
    <xf numFmtId="165" fontId="23" fillId="0" borderId="14" xfId="7" applyNumberFormat="1" applyFont="1" applyBorder="1" applyAlignment="1">
      <alignment horizontal="right" vertical="center" wrapText="1" indent="1"/>
    </xf>
    <xf numFmtId="165" fontId="23" fillId="0" borderId="23" xfId="7" applyNumberFormat="1" applyFont="1" applyBorder="1" applyAlignment="1">
      <alignment horizontal="right" vertical="center" wrapText="1" indent="1"/>
    </xf>
    <xf numFmtId="165" fontId="23" fillId="0" borderId="25" xfId="7" applyNumberFormat="1" applyFont="1" applyBorder="1" applyAlignment="1">
      <alignment horizontal="right" vertical="center" wrapText="1" indent="1"/>
    </xf>
    <xf numFmtId="165" fontId="17" fillId="0" borderId="86" xfId="0" applyNumberFormat="1" applyFont="1" applyBorder="1" applyAlignment="1">
      <alignment horizontal="right" indent="1"/>
    </xf>
    <xf numFmtId="3" fontId="23" fillId="0" borderId="75" xfId="1" applyNumberFormat="1" applyFont="1" applyBorder="1" applyAlignment="1">
      <alignment horizontal="right" vertical="center" wrapText="1" indent="1"/>
    </xf>
    <xf numFmtId="3" fontId="23" fillId="0" borderId="77" xfId="1" applyNumberFormat="1" applyFont="1" applyBorder="1" applyAlignment="1">
      <alignment horizontal="right" vertical="center" wrapText="1" indent="1"/>
    </xf>
    <xf numFmtId="3" fontId="23" fillId="0" borderId="94" xfId="1" applyNumberFormat="1" applyFont="1" applyBorder="1" applyAlignment="1">
      <alignment horizontal="right" vertical="center" wrapText="1" indent="1"/>
    </xf>
    <xf numFmtId="3" fontId="17" fillId="0" borderId="4" xfId="1" applyNumberFormat="1" applyFont="1" applyBorder="1" applyAlignment="1">
      <alignment horizontal="right" indent="1"/>
    </xf>
    <xf numFmtId="3" fontId="23" fillId="0" borderId="93" xfId="1" applyNumberFormat="1" applyFont="1" applyBorder="1" applyAlignment="1">
      <alignment horizontal="right" vertical="center" wrapText="1" indent="1"/>
    </xf>
    <xf numFmtId="3" fontId="17" fillId="0" borderId="91" xfId="1" applyNumberFormat="1" applyFont="1" applyBorder="1" applyAlignment="1">
      <alignment horizontal="right" indent="1"/>
    </xf>
    <xf numFmtId="10" fontId="23" fillId="0" borderId="87" xfId="1" applyNumberFormat="1" applyFont="1" applyBorder="1" applyAlignment="1">
      <alignment horizontal="right" vertical="center" wrapText="1" indent="1"/>
    </xf>
    <xf numFmtId="10" fontId="23" fillId="0" borderId="62" xfId="1" applyNumberFormat="1" applyFont="1" applyBorder="1" applyAlignment="1">
      <alignment horizontal="right" vertical="center" wrapText="1" indent="1"/>
    </xf>
    <xf numFmtId="10" fontId="17" fillId="0" borderId="1" xfId="1" applyNumberFormat="1" applyFont="1" applyBorder="1" applyAlignment="1">
      <alignment horizontal="right" indent="1"/>
    </xf>
    <xf numFmtId="4" fontId="23" fillId="0" borderId="93" xfId="7" applyNumberFormat="1" applyFont="1" applyBorder="1" applyAlignment="1">
      <alignment horizontal="right" vertical="center" wrapText="1" indent="1"/>
    </xf>
    <xf numFmtId="4" fontId="23" fillId="0" borderId="87" xfId="7" applyNumberFormat="1" applyFont="1" applyBorder="1" applyAlignment="1">
      <alignment horizontal="right" vertical="center" wrapText="1" indent="1"/>
    </xf>
    <xf numFmtId="4" fontId="17" fillId="0" borderId="91" xfId="0" applyNumberFormat="1" applyFont="1" applyBorder="1" applyAlignment="1">
      <alignment horizontal="right" indent="1"/>
    </xf>
    <xf numFmtId="0" fontId="4" fillId="0" borderId="0" xfId="7" applyFont="1" applyAlignment="1">
      <alignment vertical="center"/>
    </xf>
    <xf numFmtId="0" fontId="10" fillId="0" borderId="0" xfId="11" applyFont="1" applyAlignment="1">
      <alignment vertical="center"/>
    </xf>
    <xf numFmtId="0" fontId="2" fillId="0" borderId="0" xfId="11" applyFont="1" applyAlignment="1">
      <alignment vertical="center"/>
    </xf>
    <xf numFmtId="0" fontId="42" fillId="0" borderId="32" xfId="11" applyFont="1" applyBorder="1" applyAlignment="1">
      <alignment horizontal="centerContinuous" vertical="center"/>
    </xf>
    <xf numFmtId="0" fontId="42" fillId="0" borderId="33" xfId="11" applyFont="1" applyBorder="1" applyAlignment="1">
      <alignment horizontal="centerContinuous" vertical="center"/>
    </xf>
    <xf numFmtId="0" fontId="42" fillId="0" borderId="71" xfId="11" applyFont="1" applyBorder="1" applyAlignment="1">
      <alignment horizontal="center" vertical="center" wrapText="1"/>
    </xf>
    <xf numFmtId="0" fontId="42" fillId="0" borderId="26" xfId="11" applyFont="1" applyBorder="1" applyAlignment="1">
      <alignment horizontal="center" vertical="center" wrapText="1"/>
    </xf>
    <xf numFmtId="0" fontId="23" fillId="0" borderId="115" xfId="7" applyFont="1" applyBorder="1" applyAlignment="1">
      <alignment horizontal="center" vertical="center" wrapText="1"/>
    </xf>
    <xf numFmtId="0" fontId="10" fillId="0" borderId="13" xfId="11" applyFont="1" applyBorder="1" applyAlignment="1">
      <alignment horizontal="left" vertical="center" indent="1"/>
    </xf>
    <xf numFmtId="3" fontId="10" fillId="0" borderId="88" xfId="11" applyNumberFormat="1" applyFont="1" applyBorder="1" applyAlignment="1">
      <alignment horizontal="right" vertical="center" indent="1"/>
    </xf>
    <xf numFmtId="3" fontId="10" fillId="0" borderId="20" xfId="11" applyNumberFormat="1" applyFont="1" applyBorder="1" applyAlignment="1">
      <alignment horizontal="right" vertical="center" indent="1"/>
    </xf>
    <xf numFmtId="3" fontId="10" fillId="0" borderId="13" xfId="11" applyNumberFormat="1" applyFont="1" applyFill="1" applyBorder="1" applyAlignment="1">
      <alignment horizontal="right" vertical="center" indent="1"/>
    </xf>
    <xf numFmtId="0" fontId="23" fillId="0" borderId="116" xfId="7" applyFont="1" applyBorder="1" applyAlignment="1">
      <alignment horizontal="center" vertical="center" wrapText="1"/>
    </xf>
    <xf numFmtId="0" fontId="10" fillId="0" borderId="22" xfId="11" applyFont="1" applyBorder="1" applyAlignment="1">
      <alignment horizontal="left" vertical="center" indent="1"/>
    </xf>
    <xf numFmtId="0" fontId="23" fillId="0" borderId="117" xfId="7" applyFont="1" applyBorder="1" applyAlignment="1">
      <alignment horizontal="center" vertical="center" wrapText="1"/>
    </xf>
    <xf numFmtId="0" fontId="10" fillId="0" borderId="68" xfId="11" applyFont="1" applyBorder="1" applyAlignment="1">
      <alignment horizontal="left" vertical="center" indent="1"/>
    </xf>
    <xf numFmtId="3" fontId="10" fillId="0" borderId="41" xfId="11" applyNumberFormat="1" applyFont="1" applyBorder="1" applyAlignment="1">
      <alignment horizontal="right" vertical="center" indent="1"/>
    </xf>
    <xf numFmtId="3" fontId="10" fillId="0" borderId="42" xfId="11" applyNumberFormat="1" applyFont="1" applyBorder="1" applyAlignment="1">
      <alignment horizontal="right" vertical="center" indent="1"/>
    </xf>
    <xf numFmtId="0" fontId="10" fillId="0" borderId="48" xfId="11" applyFont="1" applyBorder="1" applyAlignment="1">
      <alignment vertical="center"/>
    </xf>
    <xf numFmtId="0" fontId="9" fillId="0" borderId="4" xfId="11" applyFont="1" applyBorder="1" applyAlignment="1">
      <alignment horizontal="left" vertical="center" indent="1"/>
    </xf>
    <xf numFmtId="3" fontId="9" fillId="0" borderId="83" xfId="11" applyNumberFormat="1" applyFont="1" applyBorder="1" applyAlignment="1">
      <alignment horizontal="right" vertical="center" indent="1"/>
    </xf>
    <xf numFmtId="3" fontId="9" fillId="0" borderId="2" xfId="11" applyNumberFormat="1" applyFont="1" applyBorder="1" applyAlignment="1">
      <alignment horizontal="right" vertical="center" indent="1"/>
    </xf>
    <xf numFmtId="3" fontId="9" fillId="0" borderId="4" xfId="11" applyNumberFormat="1" applyFont="1" applyFill="1" applyBorder="1" applyAlignment="1">
      <alignment horizontal="right" vertical="center" indent="1"/>
    </xf>
    <xf numFmtId="0" fontId="10" fillId="0" borderId="0" xfId="0" applyFont="1" applyAlignment="1">
      <alignment vertical="center"/>
    </xf>
    <xf numFmtId="0" fontId="46" fillId="0" borderId="0" xfId="7" applyFont="1" applyAlignment="1">
      <alignment vertical="center"/>
    </xf>
    <xf numFmtId="0" fontId="47" fillId="0" borderId="0" xfId="7" applyFont="1" applyAlignment="1">
      <alignment vertical="center"/>
    </xf>
    <xf numFmtId="0" fontId="48" fillId="0" borderId="0" xfId="7" applyFont="1" applyAlignment="1">
      <alignment vertical="center"/>
    </xf>
    <xf numFmtId="0" fontId="49" fillId="0" borderId="0" xfId="7" applyFont="1" applyAlignment="1">
      <alignment vertical="center"/>
    </xf>
    <xf numFmtId="0" fontId="50" fillId="0" borderId="0" xfId="7" applyFont="1" applyAlignment="1">
      <alignment vertical="center"/>
    </xf>
    <xf numFmtId="3" fontId="40" fillId="0" borderId="16" xfId="7" applyNumberFormat="1" applyFont="1" applyBorder="1" applyAlignment="1">
      <alignment horizontal="right" vertical="center" indent="1"/>
    </xf>
    <xf numFmtId="3" fontId="40" fillId="0" borderId="22" xfId="7" applyNumberFormat="1" applyFont="1" applyBorder="1" applyAlignment="1">
      <alignment horizontal="right" vertical="center" indent="1"/>
    </xf>
    <xf numFmtId="3" fontId="40" fillId="0" borderId="29" xfId="7" applyNumberFormat="1" applyFont="1" applyBorder="1" applyAlignment="1">
      <alignment horizontal="right" vertical="center" indent="1"/>
    </xf>
    <xf numFmtId="0" fontId="40" fillId="0" borderId="0" xfId="7" applyFont="1" applyBorder="1" applyAlignment="1">
      <alignment vertical="center"/>
    </xf>
    <xf numFmtId="0" fontId="40" fillId="0" borderId="0" xfId="7" applyFont="1" applyBorder="1" applyAlignment="1">
      <alignment vertical="center" wrapText="1"/>
    </xf>
    <xf numFmtId="0" fontId="40" fillId="0" borderId="0" xfId="7" applyFont="1" applyBorder="1" applyAlignment="1">
      <alignment horizontal="center" vertical="center" wrapText="1"/>
    </xf>
    <xf numFmtId="0" fontId="40" fillId="0" borderId="0" xfId="7" applyFont="1" applyAlignment="1">
      <alignment horizontal="right" vertical="center" indent="1"/>
    </xf>
    <xf numFmtId="0" fontId="40" fillId="0" borderId="14" xfId="7" applyFont="1" applyBorder="1" applyAlignment="1">
      <alignment horizontal="center" vertical="center" wrapText="1"/>
    </xf>
    <xf numFmtId="0" fontId="40" fillId="0" borderId="11" xfId="7" applyFont="1" applyBorder="1" applyAlignment="1">
      <alignment horizontal="left" vertical="center" wrapText="1" indent="1"/>
    </xf>
    <xf numFmtId="3" fontId="40" fillId="0" borderId="11" xfId="7" applyNumberFormat="1" applyFont="1" applyBorder="1" applyAlignment="1">
      <alignment horizontal="right" vertical="center" wrapText="1" indent="1"/>
    </xf>
    <xf numFmtId="0" fontId="40" fillId="0" borderId="23" xfId="7" applyFont="1" applyBorder="1" applyAlignment="1">
      <alignment horizontal="center" vertical="center" wrapText="1"/>
    </xf>
    <xf numFmtId="0" fontId="40" fillId="0" borderId="15" xfId="7" applyFont="1" applyBorder="1" applyAlignment="1">
      <alignment horizontal="left" vertical="center" wrapText="1" indent="1"/>
    </xf>
    <xf numFmtId="3" fontId="40" fillId="0" borderId="15" xfId="7" applyNumberFormat="1" applyFont="1" applyBorder="1" applyAlignment="1">
      <alignment horizontal="right" vertical="center" wrapText="1" indent="1"/>
    </xf>
    <xf numFmtId="0" fontId="40" fillId="0" borderId="25" xfId="7" applyFont="1" applyBorder="1" applyAlignment="1">
      <alignment horizontal="center" vertical="center" wrapText="1"/>
    </xf>
    <xf numFmtId="0" fontId="40" fillId="0" borderId="26" xfId="7" applyFont="1" applyBorder="1" applyAlignment="1">
      <alignment horizontal="left" vertical="center" wrapText="1" indent="1"/>
    </xf>
    <xf numFmtId="3" fontId="40" fillId="0" borderId="26" xfId="7" applyNumberFormat="1" applyFont="1" applyBorder="1" applyAlignment="1">
      <alignment horizontal="right" vertical="center" wrapText="1" indent="1"/>
    </xf>
    <xf numFmtId="3" fontId="42" fillId="0" borderId="51" xfId="7" applyNumberFormat="1" applyFont="1" applyBorder="1" applyAlignment="1">
      <alignment horizontal="right" vertical="center" indent="1"/>
    </xf>
    <xf numFmtId="3" fontId="42" fillId="0" borderId="55" xfId="7" applyNumberFormat="1" applyFont="1" applyBorder="1" applyAlignment="1">
      <alignment horizontal="right" vertical="center" indent="1"/>
    </xf>
    <xf numFmtId="0" fontId="10" fillId="0" borderId="20" xfId="11" applyFont="1" applyBorder="1" applyAlignment="1">
      <alignment vertical="center"/>
    </xf>
    <xf numFmtId="0" fontId="10" fillId="0" borderId="21" xfId="11" applyFont="1" applyBorder="1" applyAlignment="1">
      <alignment vertical="center"/>
    </xf>
    <xf numFmtId="0" fontId="10" fillId="0" borderId="82" xfId="11" applyFont="1" applyBorder="1" applyAlignment="1">
      <alignment vertical="center"/>
    </xf>
    <xf numFmtId="0" fontId="10" fillId="0" borderId="88" xfId="11" applyFont="1" applyBorder="1" applyAlignment="1">
      <alignment vertical="center"/>
    </xf>
    <xf numFmtId="0" fontId="10" fillId="0" borderId="15" xfId="11" applyFont="1" applyBorder="1" applyAlignment="1">
      <alignment vertical="center"/>
    </xf>
    <xf numFmtId="0" fontId="10" fillId="0" borderId="24" xfId="11" applyFont="1" applyBorder="1" applyAlignment="1">
      <alignment vertical="center"/>
    </xf>
    <xf numFmtId="0" fontId="10" fillId="0" borderId="18" xfId="11" applyFont="1" applyBorder="1" applyAlignment="1">
      <alignment vertical="center"/>
    </xf>
    <xf numFmtId="0" fontId="10" fillId="0" borderId="19" xfId="11" applyFont="1" applyBorder="1" applyAlignment="1">
      <alignment vertical="center"/>
    </xf>
    <xf numFmtId="4" fontId="10" fillId="0" borderId="19" xfId="11" applyNumberFormat="1" applyFont="1" applyBorder="1" applyAlignment="1">
      <alignment horizontal="right" vertical="center" indent="1"/>
    </xf>
    <xf numFmtId="3" fontId="10" fillId="0" borderId="88" xfId="11" applyNumberFormat="1" applyFont="1" applyFill="1" applyBorder="1" applyAlignment="1">
      <alignment horizontal="right" vertical="center" indent="1"/>
    </xf>
    <xf numFmtId="3" fontId="10" fillId="0" borderId="19" xfId="11" applyNumberFormat="1" applyFont="1" applyFill="1" applyBorder="1" applyAlignment="1">
      <alignment horizontal="right" vertical="center" indent="1"/>
    </xf>
    <xf numFmtId="3" fontId="40" fillId="0" borderId="15" xfId="7" applyNumberFormat="1" applyFont="1" applyBorder="1" applyAlignment="1">
      <alignment horizontal="right" vertical="center" indent="1"/>
    </xf>
    <xf numFmtId="3" fontId="40" fillId="0" borderId="15" xfId="7" applyNumberFormat="1" applyFont="1" applyFill="1" applyBorder="1" applyAlignment="1">
      <alignment horizontal="right" vertical="center" indent="1"/>
    </xf>
    <xf numFmtId="0" fontId="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 inden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right" vertical="center" wrapText="1" indent="1"/>
    </xf>
    <xf numFmtId="0" fontId="10" fillId="0" borderId="87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 indent="1"/>
    </xf>
    <xf numFmtId="3" fontId="23" fillId="0" borderId="77" xfId="0" applyNumberFormat="1" applyFont="1" applyBorder="1" applyAlignment="1">
      <alignment horizontal="right" vertical="center" indent="1"/>
    </xf>
    <xf numFmtId="0" fontId="10" fillId="0" borderId="23" xfId="0" applyFont="1" applyBorder="1" applyAlignment="1">
      <alignment horizontal="center" vertical="center"/>
    </xf>
    <xf numFmtId="3" fontId="23" fillId="2" borderId="77" xfId="0" applyNumberFormat="1" applyFont="1" applyFill="1" applyBorder="1" applyAlignment="1">
      <alignment horizontal="right" vertical="center" indent="1"/>
    </xf>
    <xf numFmtId="0" fontId="10" fillId="2" borderId="22" xfId="0" applyFont="1" applyFill="1" applyBorder="1" applyAlignment="1">
      <alignment horizontal="left" vertical="center" indent="1"/>
    </xf>
    <xf numFmtId="0" fontId="10" fillId="0" borderId="25" xfId="0" applyFont="1" applyBorder="1" applyAlignment="1">
      <alignment horizontal="center" vertical="center"/>
    </xf>
    <xf numFmtId="0" fontId="51" fillId="0" borderId="68" xfId="10" applyFont="1" applyFill="1" applyBorder="1" applyAlignment="1">
      <alignment horizontal="left" vertical="center" indent="1"/>
    </xf>
    <xf numFmtId="3" fontId="23" fillId="2" borderId="94" xfId="0" applyNumberFormat="1" applyFont="1" applyFill="1" applyBorder="1" applyAlignment="1">
      <alignment horizontal="right" vertical="center" indent="1"/>
    </xf>
    <xf numFmtId="0" fontId="9" fillId="0" borderId="1" xfId="0" applyFont="1" applyBorder="1" applyAlignment="1">
      <alignment vertical="center"/>
    </xf>
    <xf numFmtId="0" fontId="9" fillId="0" borderId="4" xfId="0" applyFont="1" applyBorder="1" applyAlignment="1">
      <alignment horizontal="left" vertical="center" indent="1"/>
    </xf>
    <xf numFmtId="3" fontId="9" fillId="2" borderId="91" xfId="0" applyNumberFormat="1" applyFont="1" applyFill="1" applyBorder="1" applyAlignment="1">
      <alignment horizontal="right" vertical="center" indent="1"/>
    </xf>
    <xf numFmtId="0" fontId="10" fillId="0" borderId="0" xfId="0" quotePrefix="1" applyFont="1"/>
    <xf numFmtId="0" fontId="10" fillId="0" borderId="0" xfId="12" quotePrefix="1" applyFont="1"/>
    <xf numFmtId="0" fontId="52" fillId="0" borderId="0" xfId="12"/>
    <xf numFmtId="0" fontId="11" fillId="3" borderId="2" xfId="3" applyFont="1" applyFill="1" applyBorder="1" applyAlignment="1">
      <alignment horizontal="center" vertical="top"/>
    </xf>
    <xf numFmtId="0" fontId="4" fillId="0" borderId="0" xfId="0" applyFont="1"/>
    <xf numFmtId="0" fontId="53" fillId="0" borderId="0" xfId="0" applyFont="1"/>
    <xf numFmtId="0" fontId="0" fillId="0" borderId="62" xfId="0" applyBorder="1"/>
    <xf numFmtId="0" fontId="0" fillId="0" borderId="87" xfId="0" applyBorder="1" applyAlignment="1">
      <alignment horizontal="center" vertical="center"/>
    </xf>
    <xf numFmtId="0" fontId="40" fillId="0" borderId="12" xfId="7" applyFont="1" applyBorder="1" applyAlignment="1">
      <alignment horizontal="left" vertical="center" wrapText="1" indent="1"/>
    </xf>
    <xf numFmtId="0" fontId="0" fillId="0" borderId="23" xfId="0" applyBorder="1" applyAlignment="1">
      <alignment horizontal="center" vertical="center"/>
    </xf>
    <xf numFmtId="0" fontId="40" fillId="0" borderId="24" xfId="7" applyFont="1" applyBorder="1" applyAlignment="1">
      <alignment horizontal="left" vertical="center" wrapText="1" indent="1"/>
    </xf>
    <xf numFmtId="0" fontId="0" fillId="0" borderId="23" xfId="0" applyFill="1" applyBorder="1" applyAlignment="1">
      <alignment horizontal="center" vertical="center"/>
    </xf>
    <xf numFmtId="0" fontId="40" fillId="0" borderId="24" xfId="7" applyFont="1" applyFill="1" applyBorder="1" applyAlignment="1">
      <alignment horizontal="left" vertical="center" wrapText="1" indent="1"/>
    </xf>
    <xf numFmtId="0" fontId="0" fillId="0" borderId="62" xfId="0" applyBorder="1" applyAlignment="1">
      <alignment horizontal="center" vertical="center"/>
    </xf>
    <xf numFmtId="0" fontId="40" fillId="0" borderId="27" xfId="7" applyFont="1" applyBorder="1" applyAlignment="1">
      <alignment horizontal="left" vertical="center" wrapText="1" indent="1"/>
    </xf>
    <xf numFmtId="0" fontId="0" fillId="0" borderId="48" xfId="0" applyBorder="1"/>
    <xf numFmtId="0" fontId="35" fillId="0" borderId="0" xfId="0" applyFont="1" applyBorder="1" applyAlignment="1">
      <alignment horizontal="center"/>
    </xf>
    <xf numFmtId="3" fontId="0" fillId="0" borderId="0" xfId="0" applyNumberFormat="1" applyBorder="1"/>
    <xf numFmtId="10" fontId="0" fillId="0" borderId="0" xfId="1" applyNumberFormat="1" applyFont="1" applyBorder="1"/>
    <xf numFmtId="0" fontId="0" fillId="0" borderId="0" xfId="0" applyAlignment="1">
      <alignment horizontal="right"/>
    </xf>
    <xf numFmtId="0" fontId="0" fillId="0" borderId="14" xfId="0" applyBorder="1"/>
    <xf numFmtId="0" fontId="0" fillId="0" borderId="23" xfId="0" applyBorder="1"/>
    <xf numFmtId="0" fontId="0" fillId="0" borderId="23" xfId="0" applyFill="1" applyBorder="1"/>
    <xf numFmtId="0" fontId="0" fillId="0" borderId="25" xfId="0" applyBorder="1"/>
    <xf numFmtId="3" fontId="0" fillId="0" borderId="14" xfId="0" applyNumberFormat="1" applyBorder="1" applyAlignment="1">
      <alignment horizontal="right" indent="1"/>
    </xf>
    <xf numFmtId="10" fontId="0" fillId="0" borderId="11" xfId="1" applyNumberFormat="1" applyFont="1" applyBorder="1" applyAlignment="1">
      <alignment horizontal="right" indent="1"/>
    </xf>
    <xf numFmtId="10" fontId="0" fillId="0" borderId="16" xfId="1" applyNumberFormat="1" applyFont="1" applyBorder="1" applyAlignment="1">
      <alignment horizontal="right" indent="1"/>
    </xf>
    <xf numFmtId="3" fontId="0" fillId="0" borderId="11" xfId="0" applyNumberFormat="1" applyBorder="1" applyAlignment="1">
      <alignment horizontal="right" indent="1"/>
    </xf>
    <xf numFmtId="3" fontId="0" fillId="0" borderId="23" xfId="0" applyNumberFormat="1" applyBorder="1" applyAlignment="1">
      <alignment horizontal="right" indent="1"/>
    </xf>
    <xf numFmtId="10" fontId="0" fillId="0" borderId="15" xfId="1" applyNumberFormat="1" applyFont="1" applyBorder="1" applyAlignment="1">
      <alignment horizontal="right" indent="1"/>
    </xf>
    <xf numFmtId="10" fontId="0" fillId="0" borderId="22" xfId="1" applyNumberFormat="1" applyFont="1" applyBorder="1" applyAlignment="1">
      <alignment horizontal="right" indent="1"/>
    </xf>
    <xf numFmtId="3" fontId="0" fillId="0" borderId="15" xfId="0" applyNumberFormat="1" applyBorder="1" applyAlignment="1">
      <alignment horizontal="right" indent="1"/>
    </xf>
    <xf numFmtId="3" fontId="0" fillId="0" borderId="25" xfId="0" applyNumberFormat="1" applyBorder="1" applyAlignment="1">
      <alignment horizontal="right" indent="1"/>
    </xf>
    <xf numFmtId="10" fontId="0" fillId="0" borderId="26" xfId="1" applyNumberFormat="1" applyFont="1" applyBorder="1" applyAlignment="1">
      <alignment horizontal="right" indent="1"/>
    </xf>
    <xf numFmtId="10" fontId="0" fillId="0" borderId="29" xfId="1" applyNumberFormat="1" applyFont="1" applyBorder="1" applyAlignment="1">
      <alignment horizontal="right" indent="1"/>
    </xf>
    <xf numFmtId="3" fontId="0" fillId="0" borderId="26" xfId="0" applyNumberFormat="1" applyBorder="1" applyAlignment="1">
      <alignment horizontal="right" indent="1"/>
    </xf>
    <xf numFmtId="3" fontId="0" fillId="0" borderId="1" xfId="0" applyNumberFormat="1" applyBorder="1" applyAlignment="1">
      <alignment horizontal="right" indent="1"/>
    </xf>
    <xf numFmtId="10" fontId="0" fillId="0" borderId="50" xfId="1" applyNumberFormat="1" applyFont="1" applyBorder="1" applyAlignment="1">
      <alignment horizontal="right" indent="1"/>
    </xf>
    <xf numFmtId="10" fontId="0" fillId="0" borderId="99" xfId="1" applyNumberFormat="1" applyFont="1" applyBorder="1" applyAlignment="1">
      <alignment horizontal="right" indent="1"/>
    </xf>
    <xf numFmtId="3" fontId="0" fillId="0" borderId="58" xfId="0" applyNumberFormat="1" applyBorder="1" applyAlignment="1">
      <alignment horizontal="right" indent="1"/>
    </xf>
    <xf numFmtId="10" fontId="0" fillId="0" borderId="4" xfId="1" applyNumberFormat="1" applyFont="1" applyBorder="1" applyAlignment="1">
      <alignment horizontal="right" indent="1"/>
    </xf>
    <xf numFmtId="9" fontId="35" fillId="16" borderId="64" xfId="0" applyNumberFormat="1" applyFont="1" applyFill="1" applyBorder="1" applyAlignment="1">
      <alignment horizontal="right" indent="1"/>
    </xf>
    <xf numFmtId="0" fontId="35" fillId="0" borderId="62" xfId="0" applyFont="1" applyBorder="1" applyAlignment="1">
      <alignment horizontal="right" indent="1"/>
    </xf>
    <xf numFmtId="9" fontId="35" fillId="16" borderId="68" xfId="0" applyNumberFormat="1" applyFont="1" applyFill="1" applyBorder="1" applyAlignment="1">
      <alignment horizontal="right" indent="1"/>
    </xf>
    <xf numFmtId="0" fontId="35" fillId="0" borderId="66" xfId="0" applyFont="1" applyBorder="1" applyAlignment="1">
      <alignment horizontal="right" indent="1"/>
    </xf>
    <xf numFmtId="9" fontId="35" fillId="16" borderId="25" xfId="0" applyNumberFormat="1" applyFont="1" applyFill="1" applyBorder="1" applyAlignment="1">
      <alignment horizontal="right" indent="1"/>
    </xf>
    <xf numFmtId="3" fontId="35" fillId="0" borderId="29" xfId="0" applyNumberFormat="1" applyFont="1" applyBorder="1" applyAlignment="1">
      <alignment horizontal="right" indent="1"/>
    </xf>
    <xf numFmtId="168" fontId="0" fillId="0" borderId="12" xfId="1" applyNumberFormat="1" applyFont="1" applyBorder="1" applyAlignment="1">
      <alignment horizontal="right" indent="1"/>
    </xf>
    <xf numFmtId="168" fontId="0" fillId="0" borderId="14" xfId="0" applyNumberFormat="1" applyBorder="1" applyAlignment="1">
      <alignment horizontal="right" indent="1"/>
    </xf>
    <xf numFmtId="168" fontId="0" fillId="0" borderId="16" xfId="1" applyNumberFormat="1" applyFont="1" applyBorder="1" applyAlignment="1">
      <alignment horizontal="right" indent="1"/>
    </xf>
    <xf numFmtId="168" fontId="0" fillId="0" borderId="10" xfId="0" applyNumberFormat="1" applyBorder="1" applyAlignment="1">
      <alignment horizontal="right" indent="1"/>
    </xf>
    <xf numFmtId="168" fontId="0" fillId="0" borderId="10" xfId="1" applyNumberFormat="1" applyFont="1" applyBorder="1" applyAlignment="1">
      <alignment horizontal="right" indent="1"/>
    </xf>
    <xf numFmtId="3" fontId="0" fillId="0" borderId="93" xfId="0" applyNumberFormat="1" applyBorder="1" applyAlignment="1">
      <alignment horizontal="right" indent="1"/>
    </xf>
    <xf numFmtId="168" fontId="0" fillId="0" borderId="24" xfId="1" applyNumberFormat="1" applyFont="1" applyBorder="1" applyAlignment="1">
      <alignment horizontal="right" indent="1"/>
    </xf>
    <xf numFmtId="168" fontId="0" fillId="0" borderId="23" xfId="0" applyNumberFormat="1" applyBorder="1" applyAlignment="1">
      <alignment horizontal="right" indent="1"/>
    </xf>
    <xf numFmtId="168" fontId="0" fillId="0" borderId="22" xfId="1" applyNumberFormat="1" applyFont="1" applyBorder="1" applyAlignment="1">
      <alignment horizontal="right" indent="1"/>
    </xf>
    <xf numFmtId="168" fontId="0" fillId="0" borderId="19" xfId="0" applyNumberFormat="1" applyBorder="1" applyAlignment="1">
      <alignment horizontal="right" indent="1"/>
    </xf>
    <xf numFmtId="168" fontId="0" fillId="0" borderId="88" xfId="1" applyNumberFormat="1" applyFont="1" applyBorder="1" applyAlignment="1">
      <alignment horizontal="right" indent="1"/>
    </xf>
    <xf numFmtId="3" fontId="0" fillId="0" borderId="22" xfId="0" applyNumberFormat="1" applyBorder="1" applyAlignment="1">
      <alignment horizontal="right" indent="1"/>
    </xf>
    <xf numFmtId="168" fontId="0" fillId="0" borderId="19" xfId="1" applyNumberFormat="1" applyFont="1" applyBorder="1" applyAlignment="1">
      <alignment horizontal="right" indent="1"/>
    </xf>
    <xf numFmtId="168" fontId="0" fillId="0" borderId="24" xfId="1" applyNumberFormat="1" applyFont="1" applyFill="1" applyBorder="1" applyAlignment="1">
      <alignment horizontal="right" indent="1"/>
    </xf>
    <xf numFmtId="168" fontId="0" fillId="0" borderId="23" xfId="0" applyNumberFormat="1" applyFill="1" applyBorder="1" applyAlignment="1">
      <alignment horizontal="right" indent="1"/>
    </xf>
    <xf numFmtId="168" fontId="0" fillId="0" borderId="22" xfId="1" applyNumberFormat="1" applyFont="1" applyFill="1" applyBorder="1" applyAlignment="1">
      <alignment horizontal="right" indent="1"/>
    </xf>
    <xf numFmtId="168" fontId="0" fillId="0" borderId="19" xfId="0" applyNumberFormat="1" applyFill="1" applyBorder="1" applyAlignment="1">
      <alignment horizontal="right" indent="1"/>
    </xf>
    <xf numFmtId="168" fontId="0" fillId="0" borderId="19" xfId="1" applyNumberFormat="1" applyFont="1" applyFill="1" applyBorder="1" applyAlignment="1">
      <alignment horizontal="right" indent="1"/>
    </xf>
    <xf numFmtId="3" fontId="0" fillId="0" borderId="22" xfId="0" applyNumberFormat="1" applyFill="1" applyBorder="1" applyAlignment="1">
      <alignment horizontal="right" indent="1"/>
    </xf>
    <xf numFmtId="168" fontId="0" fillId="0" borderId="27" xfId="1" applyNumberFormat="1" applyFont="1" applyBorder="1" applyAlignment="1">
      <alignment horizontal="right" indent="1"/>
    </xf>
    <xf numFmtId="168" fontId="0" fillId="0" borderId="25" xfId="0" applyNumberFormat="1" applyBorder="1" applyAlignment="1">
      <alignment horizontal="right" indent="1"/>
    </xf>
    <xf numFmtId="168" fontId="0" fillId="0" borderId="29" xfId="1" applyNumberFormat="1" applyFont="1" applyBorder="1" applyAlignment="1">
      <alignment horizontal="right" indent="1"/>
    </xf>
    <xf numFmtId="168" fontId="0" fillId="0" borderId="71" xfId="0" applyNumberFormat="1" applyBorder="1" applyAlignment="1">
      <alignment horizontal="right" indent="1"/>
    </xf>
    <xf numFmtId="168" fontId="0" fillId="0" borderId="71" xfId="1" applyNumberFormat="1" applyFont="1" applyBorder="1" applyAlignment="1">
      <alignment horizontal="right" indent="1"/>
    </xf>
    <xf numFmtId="3" fontId="0" fillId="0" borderId="29" xfId="0" applyNumberFormat="1" applyBorder="1" applyAlignment="1">
      <alignment horizontal="right" indent="1"/>
    </xf>
    <xf numFmtId="168" fontId="0" fillId="0" borderId="4" xfId="1" applyNumberFormat="1" applyFont="1" applyBorder="1" applyAlignment="1">
      <alignment horizontal="right" indent="1"/>
    </xf>
    <xf numFmtId="168" fontId="0" fillId="0" borderId="48" xfId="0" applyNumberFormat="1" applyBorder="1" applyAlignment="1">
      <alignment horizontal="right" indent="1"/>
    </xf>
    <xf numFmtId="168" fontId="0" fillId="0" borderId="58" xfId="0" applyNumberFormat="1" applyBorder="1" applyAlignment="1">
      <alignment horizontal="right" indent="1"/>
    </xf>
    <xf numFmtId="168" fontId="0" fillId="0" borderId="1" xfId="1" applyNumberFormat="1" applyFont="1" applyBorder="1" applyAlignment="1">
      <alignment horizontal="right" indent="1"/>
    </xf>
    <xf numFmtId="3" fontId="0" fillId="0" borderId="4" xfId="0" applyNumberFormat="1" applyBorder="1" applyAlignment="1">
      <alignment horizontal="right" indent="1"/>
    </xf>
    <xf numFmtId="0" fontId="32" fillId="0" borderId="0" xfId="7" applyFont="1" applyAlignment="1">
      <alignment horizontal="left" vertical="center" wrapText="1"/>
    </xf>
    <xf numFmtId="0" fontId="23" fillId="0" borderId="0" xfId="7" applyFont="1"/>
    <xf numFmtId="0" fontId="23" fillId="0" borderId="24" xfId="7" applyFont="1" applyBorder="1" applyAlignment="1"/>
    <xf numFmtId="0" fontId="23" fillId="0" borderId="18" xfId="7" applyFont="1" applyBorder="1" applyAlignment="1"/>
    <xf numFmtId="0" fontId="23" fillId="0" borderId="19" xfId="7" applyFont="1" applyBorder="1" applyAlignment="1"/>
    <xf numFmtId="3" fontId="23" fillId="0" borderId="15" xfId="7" applyNumberFormat="1" applyFont="1" applyBorder="1" applyAlignment="1">
      <alignment horizontal="right" indent="1"/>
    </xf>
    <xf numFmtId="170" fontId="23" fillId="0" borderId="15" xfId="7" applyNumberFormat="1" applyFont="1" applyBorder="1" applyAlignment="1">
      <alignment horizontal="right" indent="1"/>
    </xf>
    <xf numFmtId="0" fontId="40" fillId="0" borderId="0" xfId="7" applyFont="1" applyBorder="1" applyAlignment="1">
      <alignment horizontal="left"/>
    </xf>
    <xf numFmtId="170" fontId="40" fillId="0" borderId="0" xfId="7" applyNumberFormat="1" applyFont="1" applyBorder="1" applyAlignment="1">
      <alignment horizontal="right"/>
    </xf>
    <xf numFmtId="0" fontId="40" fillId="0" borderId="0" xfId="7" applyFont="1"/>
    <xf numFmtId="0" fontId="17" fillId="0" borderId="71" xfId="7" applyFont="1" applyFill="1" applyBorder="1" applyAlignment="1">
      <alignment horizontal="center" vertical="center" wrapText="1"/>
    </xf>
    <xf numFmtId="0" fontId="17" fillId="0" borderId="27" xfId="7" applyFont="1" applyFill="1" applyBorder="1" applyAlignment="1">
      <alignment horizontal="center" vertical="center" wrapText="1"/>
    </xf>
    <xf numFmtId="49" fontId="51" fillId="0" borderId="87" xfId="7" applyNumberFormat="1" applyFont="1" applyFill="1" applyBorder="1" applyAlignment="1">
      <alignment horizontal="center" vertical="center"/>
    </xf>
    <xf numFmtId="0" fontId="51" fillId="0" borderId="13" xfId="7" applyFont="1" applyFill="1" applyBorder="1" applyAlignment="1">
      <alignment horizontal="left" vertical="center" indent="1"/>
    </xf>
    <xf numFmtId="3" fontId="10" fillId="0" borderId="88" xfId="8" applyNumberFormat="1" applyFont="1" applyFill="1" applyBorder="1" applyAlignment="1">
      <alignment horizontal="right" vertical="center" indent="1"/>
    </xf>
    <xf numFmtId="3" fontId="10" fillId="0" borderId="21" xfId="8" applyNumberFormat="1" applyFont="1" applyFill="1" applyBorder="1" applyAlignment="1">
      <alignment horizontal="right" vertical="center" indent="1"/>
    </xf>
    <xf numFmtId="3" fontId="17" fillId="0" borderId="114" xfId="7" applyNumberFormat="1" applyFont="1" applyBorder="1" applyAlignment="1">
      <alignment horizontal="right" vertical="center" indent="1"/>
    </xf>
    <xf numFmtId="49" fontId="51" fillId="0" borderId="23" xfId="7" applyNumberFormat="1" applyFont="1" applyFill="1" applyBorder="1" applyAlignment="1">
      <alignment horizontal="center" vertical="center"/>
    </xf>
    <xf numFmtId="0" fontId="51" fillId="0" borderId="22" xfId="7" applyFont="1" applyFill="1" applyBorder="1" applyAlignment="1">
      <alignment horizontal="left" vertical="center" indent="1"/>
    </xf>
    <xf numFmtId="3" fontId="10" fillId="0" borderId="19" xfId="8" applyNumberFormat="1" applyFont="1" applyFill="1" applyBorder="1" applyAlignment="1">
      <alignment horizontal="right" vertical="center" indent="1"/>
    </xf>
    <xf numFmtId="3" fontId="10" fillId="0" borderId="24" xfId="8" applyNumberFormat="1" applyFont="1" applyFill="1" applyBorder="1" applyAlignment="1">
      <alignment horizontal="right" vertical="center" indent="1"/>
    </xf>
    <xf numFmtId="3" fontId="10" fillId="0" borderId="19" xfId="7" applyNumberFormat="1" applyFont="1" applyFill="1" applyBorder="1" applyAlignment="1">
      <alignment horizontal="right" vertical="center" indent="1"/>
    </xf>
    <xf numFmtId="3" fontId="10" fillId="0" borderId="24" xfId="7" applyNumberFormat="1" applyFont="1" applyFill="1" applyBorder="1" applyAlignment="1">
      <alignment horizontal="right" vertical="center" indent="1"/>
    </xf>
    <xf numFmtId="3" fontId="17" fillId="0" borderId="114" xfId="7" quotePrefix="1" applyNumberFormat="1" applyFont="1" applyBorder="1" applyAlignment="1">
      <alignment horizontal="right" vertical="center" indent="1"/>
    </xf>
    <xf numFmtId="49" fontId="51" fillId="0" borderId="62" xfId="7" applyNumberFormat="1" applyFont="1" applyFill="1" applyBorder="1" applyAlignment="1">
      <alignment horizontal="center" vertical="center"/>
    </xf>
    <xf numFmtId="0" fontId="51" fillId="0" borderId="68" xfId="7" applyFont="1" applyFill="1" applyBorder="1" applyAlignment="1">
      <alignment horizontal="left" vertical="center" indent="1"/>
    </xf>
    <xf numFmtId="3" fontId="23" fillId="0" borderId="66" xfId="7" applyNumberFormat="1" applyFont="1" applyFill="1" applyBorder="1" applyAlignment="1">
      <alignment horizontal="right" vertical="center" indent="1"/>
    </xf>
    <xf numFmtId="3" fontId="23" fillId="0" borderId="64" xfId="7" applyNumberFormat="1" applyFont="1" applyFill="1" applyBorder="1" applyAlignment="1">
      <alignment horizontal="right" vertical="center" indent="1"/>
    </xf>
    <xf numFmtId="0" fontId="17" fillId="0" borderId="86" xfId="7" applyFont="1" applyBorder="1" applyAlignment="1">
      <alignment vertical="center"/>
    </xf>
    <xf numFmtId="0" fontId="17" fillId="0" borderId="4" xfId="7" applyFont="1" applyBorder="1" applyAlignment="1">
      <alignment horizontal="left" vertical="center" indent="1"/>
    </xf>
    <xf numFmtId="3" fontId="17" fillId="0" borderId="83" xfId="7" applyNumberFormat="1" applyFont="1" applyFill="1" applyBorder="1" applyAlignment="1">
      <alignment horizontal="right" vertical="center" indent="1"/>
    </xf>
    <xf numFmtId="3" fontId="17" fillId="0" borderId="3" xfId="7" applyNumberFormat="1" applyFont="1" applyFill="1" applyBorder="1" applyAlignment="1">
      <alignment horizontal="right" vertical="center" indent="1"/>
    </xf>
    <xf numFmtId="3" fontId="17" fillId="0" borderId="92" xfId="7" applyNumberFormat="1" applyFont="1" applyBorder="1" applyAlignment="1">
      <alignment horizontal="right" vertical="center" indent="1"/>
    </xf>
    <xf numFmtId="0" fontId="23" fillId="0" borderId="0" xfId="10" applyFont="1" applyAlignment="1">
      <alignment vertical="center"/>
    </xf>
    <xf numFmtId="0" fontId="40" fillId="0" borderId="24" xfId="10" applyFont="1" applyBorder="1" applyAlignment="1">
      <alignment vertical="center"/>
    </xf>
    <xf numFmtId="0" fontId="40" fillId="0" borderId="0" xfId="10" applyFont="1" applyBorder="1" applyAlignment="1">
      <alignment vertical="center"/>
    </xf>
    <xf numFmtId="0" fontId="41" fillId="0" borderId="0" xfId="10" applyFont="1" applyAlignment="1">
      <alignment horizontal="center" vertical="center"/>
    </xf>
    <xf numFmtId="49" fontId="51" fillId="0" borderId="87" xfId="10" applyNumberFormat="1" applyFont="1" applyFill="1" applyBorder="1" applyAlignment="1">
      <alignment horizontal="center" vertical="center"/>
    </xf>
    <xf numFmtId="49" fontId="51" fillId="0" borderId="23" xfId="10" applyNumberFormat="1" applyFont="1" applyFill="1" applyBorder="1" applyAlignment="1">
      <alignment horizontal="center" vertical="center"/>
    </xf>
    <xf numFmtId="49" fontId="51" fillId="0" borderId="62" xfId="10" applyNumberFormat="1" applyFont="1" applyFill="1" applyBorder="1" applyAlignment="1">
      <alignment horizontal="center" vertical="center"/>
    </xf>
    <xf numFmtId="0" fontId="17" fillId="0" borderId="1" xfId="10" applyFont="1" applyFill="1" applyBorder="1" applyAlignment="1">
      <alignment horizontal="center" vertical="center"/>
    </xf>
    <xf numFmtId="0" fontId="55" fillId="0" borderId="0" xfId="10" applyFont="1" applyFill="1" applyAlignment="1">
      <alignment vertical="center"/>
    </xf>
    <xf numFmtId="0" fontId="55" fillId="0" borderId="0" xfId="10" applyFont="1" applyAlignment="1">
      <alignment vertical="center"/>
    </xf>
    <xf numFmtId="0" fontId="6" fillId="0" borderId="0" xfId="12" quotePrefix="1" applyFont="1"/>
    <xf numFmtId="0" fontId="40" fillId="0" borderId="18" xfId="10" applyFont="1" applyBorder="1" applyAlignment="1">
      <alignment vertical="center"/>
    </xf>
    <xf numFmtId="0" fontId="56" fillId="0" borderId="0" xfId="10" applyFont="1" applyBorder="1" applyAlignment="1">
      <alignment vertical="center"/>
    </xf>
    <xf numFmtId="0" fontId="40" fillId="0" borderId="0" xfId="10" applyFont="1" applyAlignment="1">
      <alignment vertical="center"/>
    </xf>
    <xf numFmtId="0" fontId="51" fillId="0" borderId="13" xfId="10" applyFont="1" applyFill="1" applyBorder="1" applyAlignment="1">
      <alignment horizontal="left" vertical="center" indent="1"/>
    </xf>
    <xf numFmtId="0" fontId="51" fillId="0" borderId="22" xfId="10" applyFont="1" applyFill="1" applyBorder="1" applyAlignment="1">
      <alignment horizontal="left" vertical="center" indent="1"/>
    </xf>
    <xf numFmtId="0" fontId="57" fillId="0" borderId="4" xfId="10" applyFont="1" applyFill="1" applyBorder="1" applyAlignment="1">
      <alignment horizontal="left" vertical="center" indent="1"/>
    </xf>
    <xf numFmtId="0" fontId="17" fillId="0" borderId="71" xfId="10" applyFont="1" applyFill="1" applyBorder="1" applyAlignment="1">
      <alignment horizontal="center" vertical="center" wrapText="1"/>
    </xf>
    <xf numFmtId="3" fontId="10" fillId="0" borderId="88" xfId="10" applyNumberFormat="1" applyFont="1" applyBorder="1" applyAlignment="1">
      <alignment horizontal="right" vertical="center" indent="1"/>
    </xf>
    <xf numFmtId="3" fontId="10" fillId="0" borderId="19" xfId="10" applyNumberFormat="1" applyFont="1" applyBorder="1" applyAlignment="1">
      <alignment horizontal="right" vertical="center" indent="1"/>
    </xf>
    <xf numFmtId="3" fontId="10" fillId="0" borderId="66" xfId="10" applyNumberFormat="1" applyFont="1" applyBorder="1" applyAlignment="1">
      <alignment horizontal="right" vertical="center" indent="1"/>
    </xf>
    <xf numFmtId="3" fontId="9" fillId="0" borderId="83" xfId="10" applyNumberFormat="1" applyFont="1" applyFill="1" applyBorder="1" applyAlignment="1">
      <alignment horizontal="right" vertical="center" indent="1"/>
    </xf>
    <xf numFmtId="3" fontId="58" fillId="0" borderId="0" xfId="10" applyNumberFormat="1" applyFont="1" applyFill="1" applyAlignment="1">
      <alignment horizontal="right" vertical="center" indent="1"/>
    </xf>
    <xf numFmtId="164" fontId="58" fillId="0" borderId="0" xfId="10" applyNumberFormat="1" applyFont="1" applyAlignment="1">
      <alignment vertical="center"/>
    </xf>
    <xf numFmtId="0" fontId="40" fillId="0" borderId="19" xfId="10" applyFont="1" applyBorder="1" applyAlignment="1">
      <alignment vertical="center"/>
    </xf>
    <xf numFmtId="167" fontId="40" fillId="0" borderId="0" xfId="10" applyNumberFormat="1" applyFont="1" applyBorder="1" applyAlignment="1">
      <alignment horizontal="right" vertical="center"/>
    </xf>
    <xf numFmtId="0" fontId="17" fillId="0" borderId="27" xfId="10" applyFont="1" applyFill="1" applyBorder="1" applyAlignment="1">
      <alignment horizontal="center" vertical="center" wrapText="1"/>
    </xf>
    <xf numFmtId="3" fontId="10" fillId="0" borderId="21" xfId="10" applyNumberFormat="1" applyFont="1" applyBorder="1" applyAlignment="1">
      <alignment horizontal="right" vertical="center" indent="1"/>
    </xf>
    <xf numFmtId="3" fontId="10" fillId="0" borderId="24" xfId="10" applyNumberFormat="1" applyFont="1" applyBorder="1" applyAlignment="1">
      <alignment horizontal="right" vertical="center" indent="1"/>
    </xf>
    <xf numFmtId="3" fontId="10" fillId="0" borderId="64" xfId="10" applyNumberFormat="1" applyFont="1" applyBorder="1" applyAlignment="1">
      <alignment horizontal="right" vertical="center" indent="1"/>
    </xf>
    <xf numFmtId="3" fontId="9" fillId="0" borderId="2" xfId="10" applyNumberFormat="1" applyFont="1" applyFill="1" applyBorder="1" applyAlignment="1">
      <alignment horizontal="right" vertical="center" indent="1"/>
    </xf>
    <xf numFmtId="0" fontId="55" fillId="0" borderId="0" xfId="10" applyFont="1" applyFill="1" applyAlignment="1">
      <alignment horizontal="right" vertical="center" indent="1"/>
    </xf>
    <xf numFmtId="3" fontId="40" fillId="0" borderId="15" xfId="10" applyNumberFormat="1" applyFont="1" applyBorder="1" applyAlignment="1">
      <alignment horizontal="right" vertical="center" indent="1"/>
    </xf>
    <xf numFmtId="0" fontId="40" fillId="0" borderId="0" xfId="10" applyFont="1" applyAlignment="1">
      <alignment horizontal="right" vertical="center"/>
    </xf>
    <xf numFmtId="3" fontId="9" fillId="0" borderId="4" xfId="10" applyNumberFormat="1" applyFont="1" applyFill="1" applyBorder="1" applyAlignment="1">
      <alignment horizontal="right" vertical="center" indent="1"/>
    </xf>
    <xf numFmtId="0" fontId="17" fillId="0" borderId="86" xfId="10" applyFont="1" applyBorder="1" applyAlignment="1">
      <alignment horizontal="center" vertical="center"/>
    </xf>
    <xf numFmtId="0" fontId="23" fillId="0" borderId="74" xfId="0" applyFont="1" applyBorder="1" applyAlignment="1">
      <alignment horizontal="center" wrapText="1"/>
    </xf>
    <xf numFmtId="0" fontId="23" fillId="0" borderId="99" xfId="0" applyFont="1" applyBorder="1" applyAlignment="1">
      <alignment horizontal="center" wrapText="1"/>
    </xf>
    <xf numFmtId="0" fontId="23" fillId="0" borderId="0" xfId="0" applyFont="1" applyAlignment="1">
      <alignment horizontal="right" indent="1"/>
    </xf>
    <xf numFmtId="0" fontId="60" fillId="0" borderId="0" xfId="12" applyFont="1"/>
    <xf numFmtId="3" fontId="10" fillId="0" borderId="13" xfId="10" applyNumberFormat="1" applyFont="1" applyBorder="1" applyAlignment="1">
      <alignment horizontal="right" vertical="center" indent="1"/>
    </xf>
    <xf numFmtId="3" fontId="10" fillId="0" borderId="22" xfId="10" applyNumberFormat="1" applyFont="1" applyBorder="1" applyAlignment="1">
      <alignment horizontal="right" vertical="center" indent="1"/>
    </xf>
    <xf numFmtId="3" fontId="10" fillId="0" borderId="68" xfId="10" applyNumberFormat="1" applyFont="1" applyBorder="1" applyAlignment="1">
      <alignment horizontal="right" vertical="center" indent="1"/>
    </xf>
    <xf numFmtId="10" fontId="40" fillId="0" borderId="15" xfId="1" applyNumberFormat="1" applyFont="1" applyBorder="1" applyAlignment="1">
      <alignment horizontal="right" vertical="center" indent="1"/>
    </xf>
    <xf numFmtId="3" fontId="23" fillId="0" borderId="114" xfId="10" applyNumberFormat="1" applyFont="1" applyBorder="1" applyAlignment="1">
      <alignment horizontal="right" vertical="center" indent="1"/>
    </xf>
    <xf numFmtId="3" fontId="23" fillId="0" borderId="112" xfId="10" applyNumberFormat="1" applyFont="1" applyBorder="1" applyAlignment="1">
      <alignment horizontal="right" vertical="center" indent="1"/>
    </xf>
    <xf numFmtId="3" fontId="23" fillId="0" borderId="113" xfId="10" applyNumberFormat="1" applyFont="1" applyBorder="1" applyAlignment="1">
      <alignment horizontal="right" vertical="center" indent="1"/>
    </xf>
    <xf numFmtId="0" fontId="10" fillId="0" borderId="0" xfId="12" quotePrefix="1" applyFont="1"/>
    <xf numFmtId="0" fontId="35" fillId="0" borderId="1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10" fontId="0" fillId="0" borderId="0" xfId="1" applyNumberFormat="1" applyFont="1"/>
    <xf numFmtId="3" fontId="23" fillId="0" borderId="96" xfId="7" applyNumberFormat="1" applyFont="1" applyBorder="1" applyAlignment="1">
      <alignment horizontal="right" vertical="center" wrapText="1" indent="1"/>
    </xf>
    <xf numFmtId="3" fontId="23" fillId="0" borderId="112" xfId="7" applyNumberFormat="1" applyFont="1" applyBorder="1" applyAlignment="1">
      <alignment horizontal="right" vertical="center" wrapText="1" indent="1"/>
    </xf>
    <xf numFmtId="3" fontId="23" fillId="0" borderId="113" xfId="7" applyNumberFormat="1" applyFont="1" applyBorder="1" applyAlignment="1">
      <alignment horizontal="right" vertical="center" wrapText="1" indent="1"/>
    </xf>
    <xf numFmtId="3" fontId="17" fillId="0" borderId="92" xfId="0" applyNumberFormat="1" applyFont="1" applyBorder="1" applyAlignment="1">
      <alignment horizontal="right" indent="1"/>
    </xf>
    <xf numFmtId="0" fontId="40" fillId="0" borderId="13" xfId="7" applyFont="1" applyBorder="1" applyAlignment="1">
      <alignment horizontal="left" vertical="center" wrapText="1" indent="1"/>
    </xf>
    <xf numFmtId="0" fontId="40" fillId="0" borderId="22" xfId="7" applyFont="1" applyBorder="1" applyAlignment="1">
      <alignment horizontal="left" vertical="center" wrapText="1" indent="1"/>
    </xf>
    <xf numFmtId="0" fontId="40" fillId="0" borderId="29" xfId="7" applyFont="1" applyBorder="1" applyAlignment="1">
      <alignment horizontal="left" vertical="center" wrapText="1" indent="1"/>
    </xf>
    <xf numFmtId="0" fontId="35" fillId="0" borderId="86" xfId="0" applyFont="1" applyBorder="1" applyAlignment="1">
      <alignment horizontal="center"/>
    </xf>
    <xf numFmtId="0" fontId="35" fillId="0" borderId="91" xfId="0" applyFont="1" applyBorder="1" applyAlignment="1">
      <alignment horizontal="center"/>
    </xf>
    <xf numFmtId="165" fontId="17" fillId="0" borderId="23" xfId="7" applyNumberFormat="1" applyFont="1" applyFill="1" applyBorder="1" applyAlignment="1">
      <alignment horizontal="right" vertical="center" wrapText="1" indent="1"/>
    </xf>
    <xf numFmtId="3" fontId="40" fillId="0" borderId="0" xfId="7" applyNumberFormat="1" applyFont="1" applyAlignment="1">
      <alignment horizontal="right" vertical="center" indent="1"/>
    </xf>
    <xf numFmtId="0" fontId="40" fillId="0" borderId="0" xfId="7" applyFont="1" applyAlignment="1">
      <alignment horizontal="right" indent="1"/>
    </xf>
    <xf numFmtId="0" fontId="0" fillId="0" borderId="0" xfId="0"/>
    <xf numFmtId="10" fontId="0" fillId="2" borderId="0" xfId="1" applyNumberFormat="1" applyFont="1" applyFill="1"/>
    <xf numFmtId="0" fontId="9" fillId="0" borderId="0" xfId="6" applyFont="1" applyBorder="1" applyAlignment="1">
      <alignment horizontal="left" vertical="center" indent="1"/>
    </xf>
    <xf numFmtId="10" fontId="17" fillId="0" borderId="0" xfId="10" applyNumberFormat="1" applyFont="1" applyBorder="1" applyAlignment="1">
      <alignment horizontal="right" vertical="center" indent="1"/>
    </xf>
    <xf numFmtId="3" fontId="17" fillId="0" borderId="0" xfId="10" applyNumberFormat="1" applyFont="1" applyBorder="1" applyAlignment="1">
      <alignment horizontal="right" vertical="center" indent="1"/>
    </xf>
    <xf numFmtId="168" fontId="17" fillId="0" borderId="0" xfId="1" applyNumberFormat="1" applyFont="1" applyBorder="1" applyAlignment="1">
      <alignment horizontal="right" vertical="center" indent="1"/>
    </xf>
    <xf numFmtId="10" fontId="17" fillId="0" borderId="0" xfId="1" applyNumberFormat="1" applyFont="1" applyBorder="1" applyAlignment="1">
      <alignment horizontal="right" vertical="center" indent="1"/>
    </xf>
    <xf numFmtId="0" fontId="17" fillId="0" borderId="0" xfId="10" applyFont="1" applyBorder="1" applyAlignment="1">
      <alignment horizontal="center" vertical="center"/>
    </xf>
    <xf numFmtId="3" fontId="17" fillId="0" borderId="0" xfId="0" applyNumberFormat="1" applyFont="1" applyBorder="1" applyAlignment="1">
      <alignment horizontal="right" indent="1"/>
    </xf>
    <xf numFmtId="10" fontId="17" fillId="0" borderId="0" xfId="0" applyNumberFormat="1" applyFont="1" applyBorder="1" applyAlignment="1">
      <alignment horizontal="right" indent="1"/>
    </xf>
    <xf numFmtId="165" fontId="17" fillId="0" borderId="0" xfId="0" applyNumberFormat="1" applyFont="1" applyBorder="1" applyAlignment="1">
      <alignment horizontal="right" indent="1"/>
    </xf>
    <xf numFmtId="4" fontId="17" fillId="0" borderId="0" xfId="0" applyNumberFormat="1" applyFont="1" applyBorder="1" applyAlignment="1">
      <alignment horizontal="right" indent="1"/>
    </xf>
    <xf numFmtId="3" fontId="17" fillId="0" borderId="0" xfId="1" applyNumberFormat="1" applyFont="1" applyBorder="1" applyAlignment="1">
      <alignment horizontal="right" indent="1"/>
    </xf>
    <xf numFmtId="10" fontId="17" fillId="0" borderId="0" xfId="1" applyNumberFormat="1" applyFont="1" applyBorder="1" applyAlignment="1">
      <alignment horizontal="right" indent="1"/>
    </xf>
    <xf numFmtId="0" fontId="23" fillId="0" borderId="0" xfId="10" applyFont="1" applyBorder="1" applyAlignment="1">
      <alignment horizontal="left" vertical="center"/>
    </xf>
    <xf numFmtId="0" fontId="7" fillId="0" borderId="0" xfId="7" applyFont="1" applyAlignment="1">
      <alignment vertical="center"/>
    </xf>
    <xf numFmtId="4" fontId="0" fillId="0" borderId="0" xfId="0" applyNumberFormat="1"/>
    <xf numFmtId="0" fontId="0" fillId="0" borderId="0" xfId="0"/>
    <xf numFmtId="0" fontId="34" fillId="0" borderId="0" xfId="5" applyFont="1" applyFill="1" applyAlignment="1">
      <alignment vertical="center"/>
    </xf>
    <xf numFmtId="0" fontId="10" fillId="0" borderId="0" xfId="12" quotePrefix="1" applyFont="1"/>
    <xf numFmtId="0" fontId="10" fillId="0" borderId="0" xfId="12" quotePrefix="1" applyFont="1" applyAlignment="1">
      <alignment horizontal="left"/>
    </xf>
    <xf numFmtId="0" fontId="10" fillId="0" borderId="0" xfId="12" applyFont="1"/>
    <xf numFmtId="0" fontId="9" fillId="0" borderId="15" xfId="3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left" vertical="center"/>
    </xf>
    <xf numFmtId="0" fontId="10" fillId="0" borderId="0" xfId="5" applyFont="1" applyFill="1" applyAlignment="1">
      <alignment horizontal="left" vertical="center" wrapText="1"/>
    </xf>
    <xf numFmtId="0" fontId="11" fillId="2" borderId="3" xfId="3" applyFont="1" applyFill="1" applyBorder="1" applyAlignment="1">
      <alignment horizontal="left" vertical="center"/>
    </xf>
    <xf numFmtId="0" fontId="11" fillId="2" borderId="57" xfId="3" applyFont="1" applyFill="1" applyBorder="1" applyAlignment="1">
      <alignment horizontal="left" vertical="center"/>
    </xf>
    <xf numFmtId="0" fontId="10" fillId="0" borderId="12" xfId="3" applyFont="1" applyFill="1" applyBorder="1" applyAlignment="1">
      <alignment horizontal="left" vertical="center"/>
    </xf>
    <xf numFmtId="0" fontId="10" fillId="0" borderId="9" xfId="3" applyFont="1" applyFill="1" applyBorder="1" applyAlignment="1">
      <alignment horizontal="left" vertical="center"/>
    </xf>
    <xf numFmtId="0" fontId="10" fillId="0" borderId="24" xfId="3" applyFont="1" applyFill="1" applyBorder="1" applyAlignment="1">
      <alignment horizontal="left" vertical="center"/>
    </xf>
    <xf numFmtId="0" fontId="10" fillId="0" borderId="18" xfId="3" applyFont="1" applyFill="1" applyBorder="1" applyAlignment="1">
      <alignment horizontal="left" vertical="center"/>
    </xf>
    <xf numFmtId="0" fontId="10" fillId="0" borderId="27" xfId="3" applyFont="1" applyFill="1" applyBorder="1" applyAlignment="1">
      <alignment horizontal="left" vertical="center"/>
    </xf>
    <xf numFmtId="0" fontId="10" fillId="0" borderId="70" xfId="3" applyFont="1" applyFill="1" applyBorder="1" applyAlignment="1">
      <alignment horizontal="left" vertical="center"/>
    </xf>
    <xf numFmtId="0" fontId="21" fillId="2" borderId="3" xfId="3" applyFont="1" applyFill="1" applyBorder="1" applyAlignment="1">
      <alignment horizontal="left" vertical="center"/>
    </xf>
    <xf numFmtId="0" fontId="21" fillId="2" borderId="57" xfId="3" applyFont="1" applyFill="1" applyBorder="1" applyAlignment="1">
      <alignment horizontal="left" vertical="center"/>
    </xf>
    <xf numFmtId="0" fontId="21" fillId="2" borderId="58" xfId="3" applyFont="1" applyFill="1" applyBorder="1" applyAlignment="1">
      <alignment horizontal="left" vertical="center"/>
    </xf>
    <xf numFmtId="0" fontId="21" fillId="2" borderId="49" xfId="3" applyFont="1" applyFill="1" applyBorder="1" applyAlignment="1">
      <alignment horizontal="left" vertical="center"/>
    </xf>
    <xf numFmtId="0" fontId="29" fillId="0" borderId="24" xfId="3" applyFont="1" applyFill="1" applyBorder="1" applyAlignment="1">
      <alignment horizontal="left" vertical="center"/>
    </xf>
    <xf numFmtId="0" fontId="29" fillId="0" borderId="18" xfId="3" applyFont="1" applyFill="1" applyBorder="1" applyAlignment="1">
      <alignment horizontal="left" vertical="center"/>
    </xf>
    <xf numFmtId="0" fontId="29" fillId="0" borderId="19" xfId="3" applyFont="1" applyFill="1" applyBorder="1" applyAlignment="1">
      <alignment horizontal="left" vertical="center"/>
    </xf>
    <xf numFmtId="0" fontId="10" fillId="0" borderId="64" xfId="3" applyFont="1" applyFill="1" applyBorder="1" applyAlignment="1">
      <alignment horizontal="left" vertical="center"/>
    </xf>
    <xf numFmtId="0" fontId="10" fillId="0" borderId="65" xfId="3" applyFont="1" applyFill="1" applyBorder="1" applyAlignment="1">
      <alignment horizontal="left" vertical="center"/>
    </xf>
    <xf numFmtId="0" fontId="10" fillId="0" borderId="66" xfId="3" applyFont="1" applyFill="1" applyBorder="1" applyAlignment="1">
      <alignment horizontal="left" vertical="center"/>
    </xf>
    <xf numFmtId="49" fontId="17" fillId="4" borderId="35" xfId="3" applyNumberFormat="1" applyFont="1" applyFill="1" applyBorder="1" applyAlignment="1">
      <alignment horizontal="center" vertical="center" wrapText="1"/>
    </xf>
    <xf numFmtId="49" fontId="17" fillId="4" borderId="44" xfId="3" applyNumberFormat="1" applyFont="1" applyFill="1" applyBorder="1" applyAlignment="1">
      <alignment horizontal="center" vertical="center" wrapText="1"/>
    </xf>
    <xf numFmtId="49" fontId="17" fillId="4" borderId="53" xfId="3" applyNumberFormat="1" applyFont="1" applyFill="1" applyBorder="1" applyAlignment="1">
      <alignment horizontal="center" vertical="center" wrapText="1"/>
    </xf>
    <xf numFmtId="10" fontId="15" fillId="0" borderId="36" xfId="3" applyNumberFormat="1" applyFont="1" applyFill="1" applyBorder="1" applyAlignment="1">
      <alignment horizontal="center" vertical="center" wrapText="1"/>
    </xf>
    <xf numFmtId="10" fontId="15" fillId="0" borderId="45" xfId="3" applyNumberFormat="1" applyFont="1" applyFill="1" applyBorder="1" applyAlignment="1">
      <alignment horizontal="center" vertical="center" wrapText="1"/>
    </xf>
    <xf numFmtId="10" fontId="15" fillId="0" borderId="54" xfId="3" applyNumberFormat="1" applyFont="1" applyFill="1" applyBorder="1" applyAlignment="1">
      <alignment horizontal="center" vertical="center" wrapText="1"/>
    </xf>
    <xf numFmtId="10" fontId="15" fillId="0" borderId="33" xfId="3" applyNumberFormat="1" applyFont="1" applyFill="1" applyBorder="1" applyAlignment="1">
      <alignment horizontal="center" vertical="center" wrapText="1"/>
    </xf>
    <xf numFmtId="10" fontId="15" fillId="0" borderId="41" xfId="3" applyNumberFormat="1" applyFont="1" applyFill="1" applyBorder="1" applyAlignment="1">
      <alignment horizontal="center" vertical="center" wrapText="1"/>
    </xf>
    <xf numFmtId="10" fontId="15" fillId="0" borderId="50" xfId="3" applyNumberFormat="1" applyFont="1" applyFill="1" applyBorder="1" applyAlignment="1">
      <alignment horizontal="center" vertical="center" wrapText="1"/>
    </xf>
    <xf numFmtId="49" fontId="15" fillId="0" borderId="16" xfId="3" applyNumberFormat="1" applyFont="1" applyFill="1" applyBorder="1" applyAlignment="1">
      <alignment horizontal="center" vertical="center" wrapText="1"/>
    </xf>
    <xf numFmtId="49" fontId="15" fillId="0" borderId="22" xfId="3" applyNumberFormat="1" applyFont="1" applyFill="1" applyBorder="1" applyAlignment="1">
      <alignment horizontal="center" vertical="center" wrapText="1"/>
    </xf>
    <xf numFmtId="49" fontId="15" fillId="0" borderId="29" xfId="3" applyNumberFormat="1" applyFont="1" applyFill="1" applyBorder="1" applyAlignment="1">
      <alignment horizontal="center" vertical="center" wrapText="1"/>
    </xf>
    <xf numFmtId="1" fontId="9" fillId="0" borderId="3" xfId="3" applyNumberFormat="1" applyFont="1" applyFill="1" applyBorder="1" applyAlignment="1">
      <alignment horizontal="center" vertical="center"/>
    </xf>
    <xf numFmtId="1" fontId="9" fillId="0" borderId="57" xfId="3" applyNumberFormat="1" applyFont="1" applyFill="1" applyBorder="1" applyAlignment="1">
      <alignment horizontal="center" vertical="center"/>
    </xf>
    <xf numFmtId="49" fontId="15" fillId="0" borderId="7" xfId="3" applyNumberFormat="1" applyFont="1" applyFill="1" applyBorder="1" applyAlignment="1">
      <alignment horizontal="center" vertical="center" wrapText="1"/>
    </xf>
    <xf numFmtId="49" fontId="15" fillId="0" borderId="46" xfId="3" applyNumberFormat="1" applyFont="1" applyFill="1" applyBorder="1" applyAlignment="1">
      <alignment horizontal="center" vertical="center" wrapText="1"/>
    </xf>
    <xf numFmtId="49" fontId="15" fillId="0" borderId="55" xfId="3" applyNumberFormat="1" applyFont="1" applyFill="1" applyBorder="1" applyAlignment="1">
      <alignment horizontal="center" vertical="center" wrapText="1"/>
    </xf>
    <xf numFmtId="49" fontId="17" fillId="3" borderId="37" xfId="3" applyNumberFormat="1" applyFont="1" applyFill="1" applyBorder="1" applyAlignment="1">
      <alignment horizontal="center" vertical="center" wrapText="1"/>
    </xf>
    <xf numFmtId="49" fontId="17" fillId="3" borderId="47" xfId="3" applyNumberFormat="1" applyFont="1" applyFill="1" applyBorder="1" applyAlignment="1">
      <alignment horizontal="center" vertical="center" wrapText="1"/>
    </xf>
    <xf numFmtId="49" fontId="17" fillId="3" borderId="56" xfId="3" applyNumberFormat="1" applyFont="1" applyFill="1" applyBorder="1" applyAlignment="1">
      <alignment horizontal="center" vertical="center" wrapText="1"/>
    </xf>
    <xf numFmtId="0" fontId="9" fillId="2" borderId="25" xfId="3" applyFont="1" applyFill="1" applyBorder="1" applyAlignment="1">
      <alignment horizontal="left" vertical="center" wrapText="1"/>
    </xf>
    <xf numFmtId="0" fontId="9" fillId="2" borderId="26" xfId="3" applyFont="1" applyFill="1" applyBorder="1" applyAlignment="1">
      <alignment horizontal="left" vertical="center" wrapText="1"/>
    </xf>
    <xf numFmtId="0" fontId="14" fillId="2" borderId="0" xfId="3" applyFont="1" applyFill="1" applyBorder="1" applyAlignment="1">
      <alignment horizontal="left" vertical="center"/>
    </xf>
    <xf numFmtId="10" fontId="15" fillId="0" borderId="6" xfId="3" applyNumberFormat="1" applyFont="1" applyFill="1" applyBorder="1" applyAlignment="1">
      <alignment horizontal="center" vertical="center" wrapText="1"/>
    </xf>
    <xf numFmtId="10" fontId="15" fillId="0" borderId="42" xfId="3" applyNumberFormat="1" applyFont="1" applyFill="1" applyBorder="1" applyAlignment="1">
      <alignment horizontal="center" vertical="center" wrapText="1"/>
    </xf>
    <xf numFmtId="10" fontId="15" fillId="0" borderId="51" xfId="3" applyNumberFormat="1" applyFont="1" applyFill="1" applyBorder="1" applyAlignment="1">
      <alignment horizontal="center" vertical="center" wrapText="1"/>
    </xf>
    <xf numFmtId="49" fontId="15" fillId="0" borderId="34" xfId="3" applyNumberFormat="1" applyFont="1" applyFill="1" applyBorder="1" applyAlignment="1">
      <alignment horizontal="center" vertical="center" wrapText="1"/>
    </xf>
    <xf numFmtId="49" fontId="15" fillId="0" borderId="43" xfId="3" applyNumberFormat="1" applyFont="1" applyFill="1" applyBorder="1" applyAlignment="1">
      <alignment horizontal="center" vertical="center" wrapText="1"/>
    </xf>
    <xf numFmtId="49" fontId="15" fillId="0" borderId="52" xfId="3" applyNumberFormat="1" applyFont="1" applyFill="1" applyBorder="1" applyAlignment="1">
      <alignment horizontal="center" vertical="center" wrapText="1"/>
    </xf>
    <xf numFmtId="0" fontId="10" fillId="2" borderId="12" xfId="3" applyFont="1" applyFill="1" applyBorder="1" applyAlignment="1">
      <alignment horizontal="left" vertical="center"/>
    </xf>
    <xf numFmtId="0" fontId="10" fillId="2" borderId="9" xfId="3" applyFont="1" applyFill="1" applyBorder="1" applyAlignment="1">
      <alignment horizontal="left" vertical="center"/>
    </xf>
    <xf numFmtId="0" fontId="9" fillId="2" borderId="17" xfId="4" applyFont="1" applyFill="1" applyBorder="1" applyAlignment="1">
      <alignment horizontal="left" vertical="center" wrapText="1"/>
    </xf>
    <xf numFmtId="0" fontId="9" fillId="2" borderId="18" xfId="4" applyFont="1" applyFill="1" applyBorder="1" applyAlignment="1">
      <alignment horizontal="left" vertical="center" wrapText="1"/>
    </xf>
    <xf numFmtId="0" fontId="9" fillId="2" borderId="19" xfId="4" applyFont="1" applyFill="1" applyBorder="1" applyAlignment="1">
      <alignment horizontal="left" vertical="center" wrapText="1"/>
    </xf>
    <xf numFmtId="0" fontId="9" fillId="2" borderId="23" xfId="3" applyFont="1" applyFill="1" applyBorder="1" applyAlignment="1">
      <alignment horizontal="left" vertical="center" wrapText="1"/>
    </xf>
    <xf numFmtId="0" fontId="9" fillId="2" borderId="15" xfId="3" applyFont="1" applyFill="1" applyBorder="1" applyAlignment="1">
      <alignment horizontal="left" vertical="center" wrapText="1"/>
    </xf>
    <xf numFmtId="0" fontId="4" fillId="2" borderId="0" xfId="3" applyFont="1" applyFill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/>
    </xf>
    <xf numFmtId="0" fontId="11" fillId="2" borderId="2" xfId="3" applyFont="1" applyFill="1" applyBorder="1" applyAlignment="1">
      <alignment horizontal="center" vertical="center"/>
    </xf>
    <xf numFmtId="0" fontId="11" fillId="2" borderId="5" xfId="3" applyFont="1" applyFill="1" applyBorder="1" applyAlignment="1">
      <alignment horizontal="center" vertical="center"/>
    </xf>
    <xf numFmtId="0" fontId="11" fillId="2" borderId="6" xfId="3" applyFont="1" applyFill="1" applyBorder="1" applyAlignment="1">
      <alignment horizontal="center" vertical="center"/>
    </xf>
    <xf numFmtId="0" fontId="9" fillId="2" borderId="8" xfId="3" applyFont="1" applyFill="1" applyBorder="1" applyAlignment="1">
      <alignment horizontal="left" vertical="center" wrapText="1"/>
    </xf>
    <xf numFmtId="0" fontId="9" fillId="2" borderId="9" xfId="3" applyFont="1" applyFill="1" applyBorder="1" applyAlignment="1">
      <alignment horizontal="left" vertical="center" wrapText="1"/>
    </xf>
    <xf numFmtId="0" fontId="9" fillId="2" borderId="10" xfId="3" applyFont="1" applyFill="1" applyBorder="1" applyAlignment="1">
      <alignment horizontal="left" vertical="center" wrapText="1"/>
    </xf>
    <xf numFmtId="0" fontId="9" fillId="2" borderId="14" xfId="4" applyFont="1" applyFill="1" applyBorder="1" applyAlignment="1">
      <alignment horizontal="left" vertical="center" wrapText="1"/>
    </xf>
    <xf numFmtId="0" fontId="9" fillId="2" borderId="11" xfId="4" applyFont="1" applyFill="1" applyBorder="1" applyAlignment="1">
      <alignment horizontal="left" vertical="center" wrapText="1"/>
    </xf>
    <xf numFmtId="0" fontId="9" fillId="0" borderId="5" xfId="3" applyFont="1" applyFill="1" applyBorder="1" applyAlignment="1">
      <alignment horizontal="center" vertical="center" textRotation="90" wrapText="1"/>
    </xf>
    <xf numFmtId="0" fontId="9" fillId="0" borderId="38" xfId="3" applyFont="1" applyFill="1" applyBorder="1" applyAlignment="1">
      <alignment horizontal="center" vertical="center" textRotation="90" wrapText="1"/>
    </xf>
    <xf numFmtId="0" fontId="9" fillId="0" borderId="30" xfId="3" applyFont="1" applyFill="1" applyBorder="1" applyAlignment="1">
      <alignment horizontal="center" vertical="center" textRotation="90" wrapText="1"/>
    </xf>
    <xf numFmtId="0" fontId="9" fillId="0" borderId="39" xfId="3" applyFont="1" applyFill="1" applyBorder="1" applyAlignment="1">
      <alignment horizontal="center" vertical="center" textRotation="90" wrapText="1"/>
    </xf>
    <xf numFmtId="0" fontId="9" fillId="0" borderId="31" xfId="3" applyFont="1" applyFill="1" applyBorder="1" applyAlignment="1">
      <alignment horizontal="center" vertical="center" wrapText="1"/>
    </xf>
    <xf numFmtId="0" fontId="9" fillId="0" borderId="32" xfId="3" applyFont="1" applyFill="1" applyBorder="1" applyAlignment="1">
      <alignment horizontal="center" vertical="center" wrapText="1"/>
    </xf>
    <xf numFmtId="0" fontId="9" fillId="0" borderId="33" xfId="3" applyFont="1" applyFill="1" applyBorder="1" applyAlignment="1">
      <alignment horizontal="center" vertical="center" wrapText="1"/>
    </xf>
    <xf numFmtId="0" fontId="9" fillId="0" borderId="40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9" fillId="0" borderId="41" xfId="3" applyFont="1" applyFill="1" applyBorder="1" applyAlignment="1">
      <alignment horizontal="center" vertical="center" wrapText="1"/>
    </xf>
    <xf numFmtId="0" fontId="9" fillId="0" borderId="48" xfId="3" applyFont="1" applyFill="1" applyBorder="1" applyAlignment="1">
      <alignment horizontal="center" vertical="center" wrapText="1"/>
    </xf>
    <xf numFmtId="0" fontId="9" fillId="0" borderId="49" xfId="3" applyFont="1" applyFill="1" applyBorder="1" applyAlignment="1">
      <alignment horizontal="center" vertical="center" wrapText="1"/>
    </xf>
    <xf numFmtId="0" fontId="9" fillId="0" borderId="50" xfId="3" applyFont="1" applyFill="1" applyBorder="1" applyAlignment="1">
      <alignment horizontal="center" vertical="center" wrapText="1"/>
    </xf>
    <xf numFmtId="49" fontId="9" fillId="0" borderId="11" xfId="3" applyNumberFormat="1" applyFont="1" applyFill="1" applyBorder="1" applyAlignment="1">
      <alignment horizontal="center" vertical="center" wrapText="1"/>
    </xf>
    <xf numFmtId="49" fontId="9" fillId="0" borderId="15" xfId="3" applyNumberFormat="1" applyFont="1" applyFill="1" applyBorder="1" applyAlignment="1">
      <alignment horizontal="center" vertical="center" wrapText="1"/>
    </xf>
    <xf numFmtId="49" fontId="9" fillId="0" borderId="26" xfId="3" applyNumberFormat="1" applyFont="1" applyFill="1" applyBorder="1" applyAlignment="1">
      <alignment horizontal="center" vertical="center" wrapText="1"/>
    </xf>
    <xf numFmtId="0" fontId="9" fillId="2" borderId="25" xfId="4" applyFont="1" applyFill="1" applyBorder="1" applyAlignment="1">
      <alignment horizontal="left" vertical="center" wrapText="1"/>
    </xf>
    <xf numFmtId="0" fontId="9" fillId="2" borderId="26" xfId="4" applyFont="1" applyFill="1" applyBorder="1" applyAlignment="1">
      <alignment horizontal="left" vertical="center" wrapText="1"/>
    </xf>
    <xf numFmtId="0" fontId="10" fillId="2" borderId="0" xfId="3" applyFont="1" applyFill="1" applyBorder="1" applyAlignment="1">
      <alignment horizontal="center" vertical="center"/>
    </xf>
    <xf numFmtId="0" fontId="9" fillId="0" borderId="16" xfId="8" applyFont="1" applyFill="1" applyBorder="1" applyAlignment="1">
      <alignment horizontal="center" vertical="center" wrapText="1"/>
    </xf>
    <xf numFmtId="0" fontId="9" fillId="0" borderId="29" xfId="8" applyFont="1" applyFill="1" applyBorder="1" applyAlignment="1">
      <alignment horizontal="center" vertical="center" wrapText="1"/>
    </xf>
    <xf numFmtId="0" fontId="17" fillId="0" borderId="14" xfId="7" applyFont="1" applyBorder="1" applyAlignment="1">
      <alignment horizontal="center" vertical="center"/>
    </xf>
    <xf numFmtId="0" fontId="17" fillId="0" borderId="25" xfId="7" applyFont="1" applyBorder="1" applyAlignment="1">
      <alignment horizontal="center" vertical="center"/>
    </xf>
    <xf numFmtId="0" fontId="17" fillId="0" borderId="8" xfId="10" applyFont="1" applyBorder="1" applyAlignment="1">
      <alignment horizontal="center"/>
    </xf>
    <xf numFmtId="0" fontId="17" fillId="0" borderId="9" xfId="10" applyFont="1" applyBorder="1" applyAlignment="1">
      <alignment horizontal="center"/>
    </xf>
    <xf numFmtId="0" fontId="17" fillId="0" borderId="75" xfId="10" applyFont="1" applyBorder="1" applyAlignment="1">
      <alignment horizontal="center"/>
    </xf>
    <xf numFmtId="0" fontId="35" fillId="7" borderId="1" xfId="0" applyFont="1" applyFill="1" applyBorder="1" applyAlignment="1">
      <alignment horizontal="center"/>
    </xf>
    <xf numFmtId="0" fontId="35" fillId="7" borderId="4" xfId="0" applyFont="1" applyFill="1" applyBorder="1" applyAlignment="1">
      <alignment horizontal="center"/>
    </xf>
    <xf numFmtId="0" fontId="0" fillId="11" borderId="8" xfId="0" applyFill="1" applyBorder="1" applyAlignment="1">
      <alignment horizontal="center" vertical="center" wrapText="1"/>
    </xf>
    <xf numFmtId="0" fontId="0" fillId="11" borderId="75" xfId="0" applyFill="1" applyBorder="1" applyAlignment="1">
      <alignment horizontal="center" vertical="center" wrapText="1"/>
    </xf>
    <xf numFmtId="0" fontId="35" fillId="11" borderId="100" xfId="0" applyFont="1" applyFill="1" applyBorder="1" applyAlignment="1">
      <alignment horizontal="center" vertical="center" wrapText="1"/>
    </xf>
    <xf numFmtId="0" fontId="35" fillId="11" borderId="102" xfId="0" applyFont="1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0" fontId="0" fillId="11" borderId="96" xfId="0" applyFill="1" applyBorder="1" applyAlignment="1">
      <alignment horizontal="center" vertical="center"/>
    </xf>
    <xf numFmtId="0" fontId="0" fillId="11" borderId="97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11" borderId="95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 vertical="center" wrapText="1"/>
    </xf>
    <xf numFmtId="0" fontId="0" fillId="11" borderId="12" xfId="0" applyFill="1" applyBorder="1" applyAlignment="1">
      <alignment horizontal="center" vertical="center" wrapText="1"/>
    </xf>
    <xf numFmtId="0" fontId="35" fillId="8" borderId="1" xfId="0" applyFont="1" applyFill="1" applyBorder="1" applyAlignment="1">
      <alignment horizontal="center"/>
    </xf>
    <xf numFmtId="0" fontId="35" fillId="8" borderId="4" xfId="0" applyFont="1" applyFill="1" applyBorder="1" applyAlignment="1">
      <alignment horizontal="center"/>
    </xf>
    <xf numFmtId="0" fontId="0" fillId="11" borderId="9" xfId="0" applyFill="1" applyBorder="1" applyAlignment="1">
      <alignment horizontal="center" vertical="center" wrapText="1"/>
    </xf>
    <xf numFmtId="0" fontId="0" fillId="11" borderId="75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/>
    </xf>
    <xf numFmtId="0" fontId="35" fillId="9" borderId="4" xfId="0" applyFont="1" applyFill="1" applyBorder="1" applyAlignment="1">
      <alignment horizontal="center"/>
    </xf>
    <xf numFmtId="0" fontId="35" fillId="10" borderId="1" xfId="0" applyFont="1" applyFill="1" applyBorder="1" applyAlignment="1">
      <alignment horizontal="center"/>
    </xf>
    <xf numFmtId="0" fontId="35" fillId="10" borderId="4" xfId="0" applyFont="1" applyFill="1" applyBorder="1" applyAlignment="1">
      <alignment horizontal="center"/>
    </xf>
    <xf numFmtId="0" fontId="17" fillId="0" borderId="5" xfId="10" applyFont="1" applyBorder="1" applyAlignment="1">
      <alignment horizontal="center" vertical="center" wrapText="1"/>
    </xf>
    <xf numFmtId="0" fontId="17" fillId="0" borderId="38" xfId="10" applyFont="1" applyBorder="1" applyAlignment="1">
      <alignment horizontal="center" vertical="center" wrapText="1"/>
    </xf>
    <xf numFmtId="0" fontId="17" fillId="0" borderId="74" xfId="10" applyFont="1" applyBorder="1" applyAlignment="1">
      <alignment horizontal="center" vertical="center" wrapText="1"/>
    </xf>
    <xf numFmtId="0" fontId="23" fillId="0" borderId="100" xfId="0" applyFont="1" applyBorder="1" applyAlignment="1">
      <alignment horizontal="center" vertical="center" wrapText="1"/>
    </xf>
    <xf numFmtId="0" fontId="23" fillId="0" borderId="101" xfId="0" applyFont="1" applyBorder="1" applyAlignment="1">
      <alignment horizontal="center" vertical="center" wrapText="1"/>
    </xf>
    <xf numFmtId="0" fontId="23" fillId="0" borderId="114" xfId="0" applyFont="1" applyBorder="1" applyAlignment="1">
      <alignment horizontal="center" vertical="center" wrapText="1"/>
    </xf>
    <xf numFmtId="0" fontId="17" fillId="0" borderId="3" xfId="10" applyFont="1" applyBorder="1" applyAlignment="1">
      <alignment horizontal="center" vertical="center"/>
    </xf>
    <xf numFmtId="0" fontId="17" fillId="0" borderId="91" xfId="1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87" xfId="0" applyFont="1" applyBorder="1" applyAlignment="1">
      <alignment horizontal="center" vertical="center" wrapText="1"/>
    </xf>
    <xf numFmtId="0" fontId="23" fillId="0" borderId="98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3" fillId="0" borderId="93" xfId="0" applyFont="1" applyBorder="1" applyAlignment="1">
      <alignment horizontal="center" vertical="center" wrapText="1"/>
    </xf>
    <xf numFmtId="0" fontId="17" fillId="0" borderId="86" xfId="10" applyFont="1" applyBorder="1" applyAlignment="1">
      <alignment horizontal="center" vertical="center"/>
    </xf>
    <xf numFmtId="0" fontId="17" fillId="0" borderId="57" xfId="10" applyFont="1" applyBorder="1" applyAlignment="1">
      <alignment horizontal="center" vertical="center"/>
    </xf>
    <xf numFmtId="0" fontId="17" fillId="0" borderId="98" xfId="10" applyFont="1" applyBorder="1" applyAlignment="1">
      <alignment horizontal="center" vertical="center"/>
    </xf>
    <xf numFmtId="0" fontId="17" fillId="0" borderId="59" xfId="10" applyFont="1" applyBorder="1" applyAlignment="1">
      <alignment horizontal="center" vertical="center"/>
    </xf>
    <xf numFmtId="0" fontId="17" fillId="0" borderId="99" xfId="10" applyFont="1" applyBorder="1" applyAlignment="1">
      <alignment horizontal="center" vertical="center"/>
    </xf>
    <xf numFmtId="0" fontId="17" fillId="0" borderId="33" xfId="10" applyFont="1" applyBorder="1" applyAlignment="1">
      <alignment horizontal="center" vertical="center"/>
    </xf>
    <xf numFmtId="0" fontId="17" fillId="0" borderId="41" xfId="10" applyFont="1" applyBorder="1" applyAlignment="1">
      <alignment horizontal="center" vertical="center"/>
    </xf>
    <xf numFmtId="0" fontId="17" fillId="0" borderId="50" xfId="10" applyFont="1" applyBorder="1" applyAlignment="1">
      <alignment horizontal="center" vertical="center"/>
    </xf>
    <xf numFmtId="4" fontId="23" fillId="0" borderId="38" xfId="0" applyNumberFormat="1" applyFont="1" applyFill="1" applyBorder="1" applyAlignment="1">
      <alignment horizontal="center" vertical="center" wrapText="1"/>
    </xf>
    <xf numFmtId="4" fontId="23" fillId="0" borderId="74" xfId="0" applyNumberFormat="1" applyFont="1" applyFill="1" applyBorder="1" applyAlignment="1">
      <alignment horizontal="center" vertical="center" wrapText="1"/>
    </xf>
    <xf numFmtId="10" fontId="23" fillId="0" borderId="59" xfId="0" applyNumberFormat="1" applyFont="1" applyFill="1" applyBorder="1" applyAlignment="1">
      <alignment horizontal="center" vertical="center" wrapText="1"/>
    </xf>
    <xf numFmtId="0" fontId="17" fillId="0" borderId="38" xfId="10" applyFont="1" applyFill="1" applyBorder="1" applyAlignment="1">
      <alignment horizontal="center" vertical="center" wrapText="1"/>
    </xf>
    <xf numFmtId="0" fontId="17" fillId="0" borderId="41" xfId="10" applyFont="1" applyFill="1" applyBorder="1" applyAlignment="1">
      <alignment horizontal="center" vertical="center"/>
    </xf>
    <xf numFmtId="0" fontId="17" fillId="0" borderId="59" xfId="10" applyFont="1" applyFill="1" applyBorder="1" applyAlignment="1">
      <alignment horizontal="center" vertical="center"/>
    </xf>
    <xf numFmtId="0" fontId="17" fillId="0" borderId="86" xfId="0" applyFont="1" applyFill="1" applyBorder="1" applyAlignment="1">
      <alignment horizontal="center"/>
    </xf>
    <xf numFmtId="0" fontId="17" fillId="0" borderId="57" xfId="0" applyFont="1" applyFill="1" applyBorder="1" applyAlignment="1">
      <alignment horizontal="center"/>
    </xf>
    <xf numFmtId="9" fontId="17" fillId="0" borderId="86" xfId="1" applyFont="1" applyFill="1" applyBorder="1" applyAlignment="1">
      <alignment horizontal="center"/>
    </xf>
    <xf numFmtId="9" fontId="17" fillId="0" borderId="91" xfId="1" applyFont="1" applyFill="1" applyBorder="1" applyAlignment="1">
      <alignment horizontal="center"/>
    </xf>
    <xf numFmtId="10" fontId="23" fillId="0" borderId="38" xfId="0" applyNumberFormat="1" applyFont="1" applyFill="1" applyBorder="1" applyAlignment="1">
      <alignment horizontal="center" vertical="center" wrapText="1"/>
    </xf>
    <xf numFmtId="10" fontId="23" fillId="0" borderId="74" xfId="0" applyNumberFormat="1" applyFont="1" applyFill="1" applyBorder="1" applyAlignment="1">
      <alignment horizontal="center" vertical="center" wrapText="1"/>
    </xf>
    <xf numFmtId="4" fontId="23" fillId="0" borderId="59" xfId="0" applyNumberFormat="1" applyFont="1" applyFill="1" applyBorder="1" applyAlignment="1">
      <alignment horizontal="center" vertical="center" wrapText="1"/>
    </xf>
    <xf numFmtId="4" fontId="23" fillId="0" borderId="41" xfId="0" applyNumberFormat="1" applyFont="1" applyFill="1" applyBorder="1" applyAlignment="1">
      <alignment horizontal="center" vertical="center" wrapText="1"/>
    </xf>
    <xf numFmtId="4" fontId="23" fillId="0" borderId="50" xfId="0" applyNumberFormat="1" applyFont="1" applyFill="1" applyBorder="1" applyAlignment="1">
      <alignment horizontal="center" vertical="center" wrapText="1"/>
    </xf>
    <xf numFmtId="4" fontId="23" fillId="0" borderId="42" xfId="0" applyNumberFormat="1" applyFont="1" applyFill="1" applyBorder="1" applyAlignment="1">
      <alignment horizontal="center" vertical="center" wrapText="1"/>
    </xf>
    <xf numFmtId="4" fontId="23" fillId="0" borderId="51" xfId="0" applyNumberFormat="1" applyFont="1" applyFill="1" applyBorder="1" applyAlignment="1">
      <alignment horizontal="center" vertical="center" wrapText="1"/>
    </xf>
    <xf numFmtId="9" fontId="17" fillId="0" borderId="86" xfId="0" applyNumberFormat="1" applyFont="1" applyFill="1" applyBorder="1" applyAlignment="1">
      <alignment horizontal="right"/>
    </xf>
    <xf numFmtId="9" fontId="17" fillId="0" borderId="91" xfId="0" applyNumberFormat="1" applyFont="1" applyFill="1" applyBorder="1" applyAlignment="1">
      <alignment horizontal="right"/>
    </xf>
    <xf numFmtId="9" fontId="17" fillId="0" borderId="57" xfId="0" applyNumberFormat="1" applyFont="1" applyFill="1" applyBorder="1" applyAlignment="1">
      <alignment horizontal="right"/>
    </xf>
    <xf numFmtId="0" fontId="17" fillId="0" borderId="100" xfId="10" applyFont="1" applyBorder="1" applyAlignment="1">
      <alignment horizontal="center" vertical="center"/>
    </xf>
    <xf numFmtId="0" fontId="17" fillId="0" borderId="101" xfId="10" applyFont="1" applyBorder="1" applyAlignment="1">
      <alignment horizontal="center" vertical="center"/>
    </xf>
    <xf numFmtId="0" fontId="17" fillId="0" borderId="102" xfId="10" applyFont="1" applyBorder="1" applyAlignment="1">
      <alignment horizontal="center" vertical="center"/>
    </xf>
    <xf numFmtId="0" fontId="23" fillId="0" borderId="64" xfId="10" applyFont="1" applyBorder="1" applyAlignment="1">
      <alignment horizontal="center" vertical="center" wrapText="1"/>
    </xf>
    <xf numFmtId="0" fontId="23" fillId="0" borderId="58" xfId="10" applyFont="1" applyBorder="1" applyAlignment="1">
      <alignment horizontal="center" vertical="center" wrapText="1"/>
    </xf>
    <xf numFmtId="0" fontId="23" fillId="0" borderId="62" xfId="10" applyFont="1" applyBorder="1" applyAlignment="1">
      <alignment horizontal="center" vertical="center" wrapText="1"/>
    </xf>
    <xf numFmtId="0" fontId="23" fillId="0" borderId="74" xfId="10" applyFont="1" applyBorder="1" applyAlignment="1">
      <alignment horizontal="center" vertical="center" wrapText="1"/>
    </xf>
    <xf numFmtId="0" fontId="23" fillId="0" borderId="63" xfId="10" applyFont="1" applyBorder="1" applyAlignment="1">
      <alignment horizontal="center" vertical="center" wrapText="1"/>
    </xf>
    <xf numFmtId="0" fontId="23" fillId="0" borderId="51" xfId="10" applyFont="1" applyBorder="1" applyAlignment="1">
      <alignment horizontal="center" vertical="center" wrapText="1"/>
    </xf>
    <xf numFmtId="0" fontId="23" fillId="0" borderId="63" xfId="10" applyFont="1" applyBorder="1" applyAlignment="1">
      <alignment horizontal="center" vertical="center"/>
    </xf>
    <xf numFmtId="0" fontId="23" fillId="0" borderId="51" xfId="10" applyFont="1" applyBorder="1" applyAlignment="1">
      <alignment horizontal="center" vertical="center"/>
    </xf>
    <xf numFmtId="0" fontId="23" fillId="0" borderId="66" xfId="10" applyFont="1" applyBorder="1" applyAlignment="1">
      <alignment horizontal="center" vertical="center"/>
    </xf>
    <xf numFmtId="0" fontId="23" fillId="0" borderId="50" xfId="10" applyFont="1" applyBorder="1" applyAlignment="1">
      <alignment horizontal="center" vertical="center"/>
    </xf>
    <xf numFmtId="0" fontId="17" fillId="0" borderId="7" xfId="10" applyFont="1" applyBorder="1" applyAlignment="1">
      <alignment horizontal="center" vertical="center"/>
    </xf>
    <xf numFmtId="0" fontId="17" fillId="0" borderId="46" xfId="10" applyFont="1" applyBorder="1" applyAlignment="1">
      <alignment horizontal="center" vertical="center"/>
    </xf>
    <xf numFmtId="0" fontId="17" fillId="0" borderId="55" xfId="10" applyFont="1" applyBorder="1" applyAlignment="1">
      <alignment horizontal="center" vertical="center"/>
    </xf>
    <xf numFmtId="0" fontId="17" fillId="0" borderId="5" xfId="10" applyFont="1" applyBorder="1" applyAlignment="1">
      <alignment horizontal="center" vertical="center"/>
    </xf>
    <xf numFmtId="0" fontId="17" fillId="0" borderId="38" xfId="10" applyFont="1" applyBorder="1" applyAlignment="1">
      <alignment horizontal="center" vertical="center"/>
    </xf>
    <xf numFmtId="0" fontId="17" fillId="0" borderId="74" xfId="10" applyFont="1" applyBorder="1" applyAlignment="1">
      <alignment horizontal="center" vertical="center"/>
    </xf>
    <xf numFmtId="0" fontId="17" fillId="0" borderId="10" xfId="10" applyFont="1" applyBorder="1" applyAlignment="1">
      <alignment horizontal="center"/>
    </xf>
    <xf numFmtId="0" fontId="17" fillId="0" borderId="11" xfId="10" applyFont="1" applyBorder="1" applyAlignment="1">
      <alignment horizontal="center"/>
    </xf>
    <xf numFmtId="0" fontId="17" fillId="0" borderId="12" xfId="10" applyFont="1" applyBorder="1" applyAlignment="1">
      <alignment horizontal="center"/>
    </xf>
    <xf numFmtId="0" fontId="17" fillId="0" borderId="14" xfId="10" applyFont="1" applyBorder="1" applyAlignment="1">
      <alignment horizontal="center"/>
    </xf>
    <xf numFmtId="0" fontId="17" fillId="0" borderId="16" xfId="10" applyFont="1" applyBorder="1" applyAlignment="1">
      <alignment horizontal="center"/>
    </xf>
    <xf numFmtId="0" fontId="23" fillId="0" borderId="68" xfId="10" applyFont="1" applyBorder="1" applyAlignment="1">
      <alignment horizontal="center" vertical="center"/>
    </xf>
    <xf numFmtId="0" fontId="23" fillId="0" borderId="55" xfId="10" applyFont="1" applyBorder="1" applyAlignment="1">
      <alignment horizontal="center" vertical="center"/>
    </xf>
    <xf numFmtId="0" fontId="23" fillId="0" borderId="62" xfId="10" applyFont="1" applyBorder="1" applyAlignment="1">
      <alignment horizontal="center" vertical="center"/>
    </xf>
    <xf numFmtId="0" fontId="23" fillId="0" borderId="74" xfId="10" applyFont="1" applyBorder="1" applyAlignment="1">
      <alignment horizontal="center" vertical="center"/>
    </xf>
    <xf numFmtId="0" fontId="23" fillId="0" borderId="64" xfId="10" applyFont="1" applyBorder="1" applyAlignment="1">
      <alignment horizontal="center" vertical="center"/>
    </xf>
    <xf numFmtId="0" fontId="23" fillId="0" borderId="58" xfId="10" applyFont="1" applyBorder="1" applyAlignment="1">
      <alignment horizontal="center" vertical="center"/>
    </xf>
    <xf numFmtId="0" fontId="17" fillId="0" borderId="100" xfId="10" applyFont="1" applyBorder="1" applyAlignment="1">
      <alignment horizontal="center" vertical="center" wrapText="1"/>
    </xf>
    <xf numFmtId="0" fontId="17" fillId="0" borderId="101" xfId="10" applyFont="1" applyBorder="1" applyAlignment="1">
      <alignment horizontal="center" vertical="center" wrapText="1"/>
    </xf>
    <xf numFmtId="0" fontId="17" fillId="0" borderId="102" xfId="10" applyFont="1" applyBorder="1" applyAlignment="1">
      <alignment horizontal="center" vertical="center" wrapText="1"/>
    </xf>
    <xf numFmtId="0" fontId="4" fillId="0" borderId="0" xfId="7" applyFont="1" applyAlignment="1">
      <alignment horizontal="left" vertical="center"/>
    </xf>
    <xf numFmtId="0" fontId="9" fillId="0" borderId="31" xfId="11" applyFont="1" applyBorder="1" applyAlignment="1">
      <alignment horizontal="center" vertical="center"/>
    </xf>
    <xf numFmtId="0" fontId="9" fillId="0" borderId="48" xfId="11" applyFont="1" applyBorder="1" applyAlignment="1">
      <alignment horizontal="center" vertical="center"/>
    </xf>
    <xf numFmtId="0" fontId="42" fillId="0" borderId="7" xfId="11" applyFont="1" applyBorder="1" applyAlignment="1">
      <alignment horizontal="center" vertical="center"/>
    </xf>
    <xf numFmtId="0" fontId="42" fillId="0" borderId="55" xfId="11" applyFont="1" applyBorder="1" applyAlignment="1">
      <alignment horizontal="center" vertical="center"/>
    </xf>
    <xf numFmtId="0" fontId="42" fillId="0" borderId="7" xfId="11" applyFont="1" applyFill="1" applyBorder="1" applyAlignment="1">
      <alignment horizontal="center" vertical="center"/>
    </xf>
    <xf numFmtId="0" fontId="42" fillId="0" borderId="55" xfId="11" applyFont="1" applyFill="1" applyBorder="1" applyAlignment="1">
      <alignment horizontal="center" vertical="center"/>
    </xf>
    <xf numFmtId="0" fontId="40" fillId="0" borderId="16" xfId="7" applyFont="1" applyBorder="1" applyAlignment="1">
      <alignment horizontal="center" vertical="center" wrapText="1"/>
    </xf>
    <xf numFmtId="0" fontId="40" fillId="0" borderId="68" xfId="7" applyFont="1" applyBorder="1" applyAlignment="1">
      <alignment horizontal="center" vertical="center" wrapText="1"/>
    </xf>
    <xf numFmtId="0" fontId="42" fillId="0" borderId="48" xfId="7" applyFont="1" applyBorder="1" applyAlignment="1">
      <alignment horizontal="center" vertical="center"/>
    </xf>
    <xf numFmtId="0" fontId="42" fillId="0" borderId="50" xfId="7" applyFont="1" applyBorder="1" applyAlignment="1">
      <alignment horizontal="center" vertical="center"/>
    </xf>
    <xf numFmtId="0" fontId="40" fillId="0" borderId="24" xfId="7" applyFont="1" applyBorder="1" applyAlignment="1">
      <alignment horizontal="left" vertical="center" indent="1"/>
    </xf>
    <xf numFmtId="0" fontId="40" fillId="0" borderId="18" xfId="7" applyFont="1" applyBorder="1" applyAlignment="1">
      <alignment horizontal="left" vertical="center" indent="1"/>
    </xf>
    <xf numFmtId="0" fontId="40" fillId="0" borderId="19" xfId="7" applyFont="1" applyBorder="1" applyAlignment="1">
      <alignment horizontal="left" vertical="center" indent="1"/>
    </xf>
    <xf numFmtId="0" fontId="40" fillId="0" borderId="14" xfId="7" applyFont="1" applyBorder="1" applyAlignment="1">
      <alignment horizontal="center" vertical="center" wrapText="1"/>
    </xf>
    <xf numFmtId="0" fontId="40" fillId="0" borderId="62" xfId="7" applyFont="1" applyBorder="1" applyAlignment="1">
      <alignment horizontal="center" vertical="center" wrapText="1"/>
    </xf>
    <xf numFmtId="0" fontId="40" fillId="0" borderId="11" xfId="7" applyFont="1" applyBorder="1" applyAlignment="1">
      <alignment horizontal="center" vertical="center" wrapText="1"/>
    </xf>
    <xf numFmtId="0" fontId="40" fillId="0" borderId="63" xfId="7" applyFont="1" applyBorder="1" applyAlignment="1">
      <alignment horizontal="center" vertical="center" wrapText="1"/>
    </xf>
    <xf numFmtId="0" fontId="35" fillId="0" borderId="86" xfId="0" applyFont="1" applyBorder="1" applyAlignment="1">
      <alignment horizontal="center" vertical="center" wrapText="1"/>
    </xf>
    <xf numFmtId="0" fontId="35" fillId="0" borderId="91" xfId="0" applyFont="1" applyBorder="1" applyAlignment="1">
      <alignment horizontal="center" vertical="center" wrapText="1"/>
    </xf>
    <xf numFmtId="0" fontId="0" fillId="0" borderId="0" xfId="0"/>
    <xf numFmtId="0" fontId="35" fillId="0" borderId="14" xfId="0" applyFont="1" applyBorder="1" applyAlignment="1">
      <alignment horizontal="center"/>
    </xf>
    <xf numFmtId="0" fontId="35" fillId="0" borderId="16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0" fontId="35" fillId="0" borderId="75" xfId="0" applyFont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35" fillId="0" borderId="83" xfId="0" applyFont="1" applyBorder="1" applyAlignment="1">
      <alignment horizontal="center"/>
    </xf>
    <xf numFmtId="0" fontId="35" fillId="0" borderId="95" xfId="0" applyFont="1" applyBorder="1" applyAlignment="1">
      <alignment horizontal="center" vertical="center" wrapText="1"/>
    </xf>
    <xf numFmtId="0" fontId="35" fillId="0" borderId="70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54" fillId="0" borderId="0" xfId="7" applyFont="1" applyAlignment="1">
      <alignment horizontal="left" vertical="center" wrapText="1"/>
    </xf>
    <xf numFmtId="0" fontId="53" fillId="0" borderId="0" xfId="7" applyFont="1" applyAlignment="1">
      <alignment horizontal="left" vertical="center" wrapText="1"/>
    </xf>
    <xf numFmtId="0" fontId="17" fillId="0" borderId="14" xfId="7" applyFont="1" applyBorder="1" applyAlignment="1">
      <alignment horizontal="center" vertical="center" wrapText="1"/>
    </xf>
    <xf numFmtId="0" fontId="17" fillId="0" borderId="25" xfId="7" applyFont="1" applyBorder="1" applyAlignment="1">
      <alignment horizontal="center" vertical="center" wrapText="1"/>
    </xf>
    <xf numFmtId="0" fontId="17" fillId="0" borderId="16" xfId="7" applyFont="1" applyBorder="1" applyAlignment="1">
      <alignment horizontal="center" vertical="center" wrapText="1"/>
    </xf>
    <xf numFmtId="0" fontId="17" fillId="0" borderId="29" xfId="7" applyFont="1" applyBorder="1" applyAlignment="1">
      <alignment horizontal="center" vertical="center" wrapText="1"/>
    </xf>
    <xf numFmtId="0" fontId="17" fillId="0" borderId="10" xfId="7" applyFont="1" applyFill="1" applyBorder="1" applyAlignment="1">
      <alignment horizontal="center" vertical="center" wrapText="1"/>
    </xf>
    <xf numFmtId="0" fontId="17" fillId="0" borderId="12" xfId="7" applyFont="1" applyFill="1" applyBorder="1" applyAlignment="1">
      <alignment horizontal="center" vertical="center" wrapText="1"/>
    </xf>
    <xf numFmtId="0" fontId="17" fillId="0" borderId="100" xfId="7" applyFont="1" applyBorder="1" applyAlignment="1">
      <alignment horizontal="center" vertical="center" wrapText="1"/>
    </xf>
    <xf numFmtId="0" fontId="17" fillId="0" borderId="102" xfId="7" applyFont="1" applyBorder="1" applyAlignment="1">
      <alignment horizontal="center" vertical="center" wrapText="1"/>
    </xf>
    <xf numFmtId="0" fontId="17" fillId="0" borderId="14" xfId="10" applyFont="1" applyBorder="1" applyAlignment="1">
      <alignment horizontal="center" vertical="center" wrapText="1"/>
    </xf>
    <xf numFmtId="0" fontId="17" fillId="0" borderId="25" xfId="10" applyFont="1" applyBorder="1" applyAlignment="1">
      <alignment horizontal="center" vertical="center" wrapText="1"/>
    </xf>
    <xf numFmtId="0" fontId="17" fillId="0" borderId="16" xfId="10" applyFont="1" applyBorder="1" applyAlignment="1">
      <alignment horizontal="center" vertical="center" wrapText="1"/>
    </xf>
    <xf numFmtId="0" fontId="17" fillId="0" borderId="29" xfId="10" applyFont="1" applyBorder="1" applyAlignment="1">
      <alignment horizontal="center" vertical="center" wrapText="1"/>
    </xf>
    <xf numFmtId="0" fontId="17" fillId="0" borderId="10" xfId="10" applyFont="1" applyFill="1" applyBorder="1" applyAlignment="1">
      <alignment horizontal="center" vertical="center" wrapText="1"/>
    </xf>
    <xf numFmtId="0" fontId="17" fillId="0" borderId="12" xfId="10" applyFont="1" applyFill="1" applyBorder="1" applyAlignment="1">
      <alignment horizontal="center" vertical="center" wrapText="1"/>
    </xf>
    <xf numFmtId="0" fontId="17" fillId="0" borderId="7" xfId="10" applyFont="1" applyBorder="1" applyAlignment="1">
      <alignment horizontal="center" vertical="center" wrapText="1"/>
    </xf>
    <xf numFmtId="0" fontId="17" fillId="0" borderId="55" xfId="10" applyFont="1" applyBorder="1" applyAlignment="1">
      <alignment horizontal="center" vertical="center" wrapText="1"/>
    </xf>
  </cellXfs>
  <cellStyles count="13">
    <cellStyle name="Hypertextový odkaz" xfId="12" builtinId="8"/>
    <cellStyle name="Nadpis - excel" xfId="2"/>
    <cellStyle name="Normální" xfId="0" builtinId="0"/>
    <cellStyle name="Normální 10" xfId="5"/>
    <cellStyle name="Normální 11 2" xfId="10"/>
    <cellStyle name="normální 14 2 2" xfId="7"/>
    <cellStyle name="Normální 2" xfId="6"/>
    <cellStyle name="normální 2 5" xfId="8"/>
    <cellStyle name="normální_Tab.1-bilance PV" xfId="4"/>
    <cellStyle name="normální_Tabulka 1-Bilanční-návrh 13.1.04" xfId="3"/>
    <cellStyle name="normální_Ubyt a strav 2002" xfId="11"/>
    <cellStyle name="Procenta" xfId="1" builtinId="5"/>
    <cellStyle name="Procenta 3 2" xfId="9"/>
  </cellStyles>
  <dxfs count="0"/>
  <tableStyles count="0" defaultTableStyle="TableStyleMedium2" defaultPivotStyle="PivotStyleLight16"/>
  <colors>
    <mruColors>
      <color rgb="FF9BC2E6"/>
      <color rgb="FFF4B084"/>
      <color rgb="FFFFD966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0</xdr:rowOff>
    </xdr:from>
    <xdr:ext cx="9525" cy="316624"/>
    <xdr:pic>
      <xdr:nvPicPr>
        <xdr:cNvPr id="2" name="Picture 1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00"/>
          <a:ext cx="9525" cy="316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316624"/>
    <xdr:pic>
      <xdr:nvPicPr>
        <xdr:cNvPr id="3" name="Picture 2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00"/>
          <a:ext cx="9525" cy="316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2"/>
  <sheetViews>
    <sheetView tabSelected="1" zoomScale="85" zoomScaleNormal="85" workbookViewId="0"/>
  </sheetViews>
  <sheetFormatPr defaultRowHeight="15" x14ac:dyDescent="0.25"/>
  <cols>
    <col min="1" max="1" width="6.7109375" customWidth="1"/>
    <col min="3" max="3" width="24.28515625" bestFit="1" customWidth="1"/>
  </cols>
  <sheetData>
    <row r="1" spans="1:5" ht="27.75" x14ac:dyDescent="0.4">
      <c r="A1" s="1" t="s">
        <v>30</v>
      </c>
      <c r="B1" s="2"/>
      <c r="C1" s="2"/>
      <c r="D1" s="2"/>
      <c r="E1" s="2"/>
    </row>
    <row r="3" spans="1:5" x14ac:dyDescent="0.25">
      <c r="A3" s="305" t="s">
        <v>0</v>
      </c>
    </row>
    <row r="4" spans="1:5" x14ac:dyDescent="0.25">
      <c r="A4" s="3"/>
    </row>
    <row r="5" spans="1:5" x14ac:dyDescent="0.25">
      <c r="A5" s="306" t="s">
        <v>1</v>
      </c>
      <c r="B5" s="873" t="s">
        <v>2</v>
      </c>
      <c r="C5" s="875"/>
    </row>
    <row r="6" spans="1:5" x14ac:dyDescent="0.25">
      <c r="A6" s="306" t="s">
        <v>3</v>
      </c>
      <c r="B6" s="873" t="s">
        <v>4</v>
      </c>
      <c r="C6" s="873"/>
    </row>
    <row r="7" spans="1:5" x14ac:dyDescent="0.25">
      <c r="A7" s="306" t="s">
        <v>5</v>
      </c>
      <c r="B7" s="873" t="s">
        <v>6</v>
      </c>
      <c r="C7" s="873"/>
    </row>
    <row r="8" spans="1:5" x14ac:dyDescent="0.25">
      <c r="A8" s="306" t="s">
        <v>7</v>
      </c>
      <c r="B8" s="873" t="s">
        <v>8</v>
      </c>
      <c r="C8" s="873"/>
    </row>
    <row r="9" spans="1:5" x14ac:dyDescent="0.25">
      <c r="A9" s="307"/>
      <c r="B9" s="4" t="s">
        <v>9</v>
      </c>
      <c r="C9" s="682" t="s">
        <v>10</v>
      </c>
    </row>
    <row r="10" spans="1:5" x14ac:dyDescent="0.25">
      <c r="A10" s="307"/>
      <c r="B10" s="4" t="s">
        <v>11</v>
      </c>
      <c r="C10" s="682" t="s">
        <v>12</v>
      </c>
    </row>
    <row r="11" spans="1:5" x14ac:dyDescent="0.25">
      <c r="A11" s="307"/>
      <c r="B11" s="4" t="s">
        <v>13</v>
      </c>
      <c r="C11" s="682" t="s">
        <v>14</v>
      </c>
    </row>
    <row r="12" spans="1:5" x14ac:dyDescent="0.25">
      <c r="A12" s="307"/>
      <c r="B12" s="5" t="s">
        <v>15</v>
      </c>
      <c r="C12" s="682" t="s">
        <v>16</v>
      </c>
    </row>
    <row r="13" spans="1:5" x14ac:dyDescent="0.25">
      <c r="A13" s="308" t="s">
        <v>245</v>
      </c>
      <c r="B13" s="873" t="s">
        <v>246</v>
      </c>
      <c r="C13" s="873"/>
    </row>
    <row r="14" spans="1:5" s="6" customFormat="1" x14ac:dyDescent="0.25">
      <c r="A14" s="308" t="s">
        <v>247</v>
      </c>
      <c r="B14" s="873" t="s">
        <v>248</v>
      </c>
      <c r="C14" s="873"/>
    </row>
    <row r="15" spans="1:5" x14ac:dyDescent="0.25">
      <c r="A15" s="306" t="s">
        <v>17</v>
      </c>
      <c r="B15" s="873" t="s">
        <v>249</v>
      </c>
      <c r="C15" s="873"/>
    </row>
    <row r="16" spans="1:5" s="6" customFormat="1" x14ac:dyDescent="0.25">
      <c r="A16" s="306" t="s">
        <v>19</v>
      </c>
      <c r="B16" s="874" t="s">
        <v>18</v>
      </c>
      <c r="C16" s="874"/>
    </row>
    <row r="17" spans="1:3" s="6" customFormat="1" x14ac:dyDescent="0.25">
      <c r="A17" s="306" t="s">
        <v>21</v>
      </c>
      <c r="B17" s="682" t="s">
        <v>26</v>
      </c>
      <c r="C17" s="681"/>
    </row>
    <row r="18" spans="1:3" x14ac:dyDescent="0.25">
      <c r="A18" s="306" t="s">
        <v>23</v>
      </c>
      <c r="B18" s="682" t="s">
        <v>28</v>
      </c>
      <c r="C18" s="681"/>
    </row>
    <row r="19" spans="1:3" x14ac:dyDescent="0.25">
      <c r="A19" s="306" t="s">
        <v>25</v>
      </c>
      <c r="B19" s="682" t="s">
        <v>24</v>
      </c>
      <c r="C19" s="681"/>
    </row>
    <row r="20" spans="1:3" x14ac:dyDescent="0.25">
      <c r="A20" s="306" t="s">
        <v>27</v>
      </c>
      <c r="B20" s="682" t="s">
        <v>29</v>
      </c>
      <c r="C20" s="681"/>
    </row>
    <row r="21" spans="1:3" x14ac:dyDescent="0.25">
      <c r="A21" s="306" t="s">
        <v>250</v>
      </c>
      <c r="B21" s="838" t="s">
        <v>20</v>
      </c>
      <c r="C21" s="681"/>
    </row>
    <row r="22" spans="1:3" x14ac:dyDescent="0.25">
      <c r="A22" s="306" t="s">
        <v>251</v>
      </c>
      <c r="B22" s="838" t="s">
        <v>22</v>
      </c>
      <c r="C22" s="838"/>
    </row>
  </sheetData>
  <mergeCells count="8">
    <mergeCell ref="B13:C13"/>
    <mergeCell ref="B15:C15"/>
    <mergeCell ref="B16:C16"/>
    <mergeCell ref="B5:C5"/>
    <mergeCell ref="B6:C6"/>
    <mergeCell ref="B7:C7"/>
    <mergeCell ref="B8:C8"/>
    <mergeCell ref="B14:C14"/>
  </mergeCells>
  <hyperlinks>
    <hyperlink ref="B5:C5" location="'0 Seznam'!A1" display="Seznam"/>
    <hyperlink ref="B6:C6" location="'1 Bilance'!A1" display="Bilance zdrojů"/>
    <hyperlink ref="B7:C7" location="'2 Stanovení podílů fixní části'!A1" display="Stanovení podílů fixní části"/>
    <hyperlink ref="B8:C8" location="'3 Stanovení podílů segmentů'!A1" display="Stanovení podílů segmentů"/>
    <hyperlink ref="C9" location="'3a Výkonová část segment 1'!A1" display="Výkonová část segment 1"/>
    <hyperlink ref="C10" location="'3b Výkonová část segment 2'!A1" display="Výkonová část segment 2"/>
    <hyperlink ref="C11" location="'3c Výkonová část segment 3'!A1" display="Výkonová část segment 3"/>
    <hyperlink ref="C12" location="'3d Výkonová část segment 4'!A1" display="Výkonová část segment 4"/>
    <hyperlink ref="B13:C13" location="'4a Společenské priority - LF'!A1" display="Společenské priority - LF"/>
    <hyperlink ref="B14:C14" location="'4b Společenské priority - PedF'!A1" display="Společenské priority - PedF"/>
    <hyperlink ref="B15:C15" location="'5 RO I'!A1" display="Rozpočtový okruh I"/>
    <hyperlink ref="B16:C16" location="'6 Ukazatel C'!A1" display="Ukazatel C"/>
    <hyperlink ref="B17" location="'7 Ukazatel J'!A1" display="Ukazatel J"/>
    <hyperlink ref="B18" location="'8 Ukazatel U'!A1" display="Ukazatel U"/>
    <hyperlink ref="B19" location="'9 Ukazatel I'!A1" display="Ukazatel I"/>
    <hyperlink ref="B20" location="'10 Ukazatel D'!A1" display="Ukazatel D"/>
    <hyperlink ref="B21" location="'11a Ukazatel F - U3V'!A1" display="Ukazatel F - U3V"/>
    <hyperlink ref="B22:C22" location="'11b Ukazatel F - SSP'!A1" display="Ukazatel F - SSP"/>
  </hyperlinks>
  <pageMargins left="0.7" right="0.7" top="0.78740157499999996" bottom="0.78740157499999996" header="0.3" footer="0.3"/>
  <pageSetup paperSize="9" orientation="portrait" r:id="rId1"/>
  <headerFooter>
    <oddHeader xml:space="preserve">&amp;LČ. j.: MSMT-2019/2019-1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0"/>
  <sheetViews>
    <sheetView zoomScale="85" zoomScaleNormal="85" workbookViewId="0">
      <selection sqref="A1:H1"/>
    </sheetView>
  </sheetViews>
  <sheetFormatPr defaultRowHeight="15" x14ac:dyDescent="0.25"/>
  <cols>
    <col min="2" max="2" width="53.5703125" bestFit="1" customWidth="1"/>
    <col min="3" max="3" width="31.28515625" bestFit="1" customWidth="1"/>
    <col min="4" max="15" width="17.7109375" customWidth="1"/>
  </cols>
  <sheetData>
    <row r="1" spans="1:15" ht="27.75" x14ac:dyDescent="0.25">
      <c r="A1" s="309" t="s">
        <v>218</v>
      </c>
      <c r="B1" s="6"/>
      <c r="C1" s="6"/>
      <c r="D1" s="6"/>
      <c r="E1" s="6"/>
      <c r="F1" s="6"/>
      <c r="G1" s="6"/>
      <c r="H1" s="6"/>
      <c r="I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</row>
    <row r="3" spans="1:15" x14ac:dyDescent="0.25">
      <c r="A3" s="6"/>
      <c r="B3" s="547" t="s">
        <v>210</v>
      </c>
      <c r="C3" s="503">
        <v>115000000</v>
      </c>
      <c r="D3" s="502" t="s">
        <v>182</v>
      </c>
      <c r="E3" s="6"/>
      <c r="F3" s="6"/>
      <c r="G3" s="6"/>
      <c r="H3" s="6"/>
      <c r="I3" s="6"/>
    </row>
    <row r="4" spans="1:15" s="6" customFormat="1" ht="15.75" thickBot="1" x14ac:dyDescent="0.3">
      <c r="B4" s="547"/>
      <c r="C4" s="503"/>
      <c r="D4" s="502"/>
    </row>
    <row r="5" spans="1:15" ht="15.75" thickBot="1" x14ac:dyDescent="0.3">
      <c r="A5" s="1023" t="s">
        <v>163</v>
      </c>
      <c r="B5" s="1024"/>
      <c r="C5" s="1024"/>
      <c r="D5" s="1034">
        <v>0.4</v>
      </c>
      <c r="E5" s="1035"/>
      <c r="F5" s="1034">
        <v>0.4</v>
      </c>
      <c r="G5" s="1036"/>
      <c r="H5" s="1036"/>
      <c r="I5" s="1035"/>
      <c r="J5" s="1034">
        <v>0.1</v>
      </c>
      <c r="K5" s="1035"/>
      <c r="L5" s="1034">
        <v>0.1</v>
      </c>
      <c r="M5" s="1035"/>
      <c r="N5" s="1025">
        <f>SUM(D5:L5)</f>
        <v>1</v>
      </c>
      <c r="O5" s="1026"/>
    </row>
    <row r="6" spans="1:15" ht="33.75" customHeight="1" x14ac:dyDescent="0.25">
      <c r="A6" s="1020" t="s">
        <v>114</v>
      </c>
      <c r="B6" s="1021" t="s">
        <v>115</v>
      </c>
      <c r="C6" s="1022" t="s">
        <v>199</v>
      </c>
      <c r="D6" s="1017" t="s">
        <v>278</v>
      </c>
      <c r="E6" s="1019" t="s">
        <v>215</v>
      </c>
      <c r="F6" s="1017" t="s">
        <v>284</v>
      </c>
      <c r="G6" s="1030" t="s">
        <v>285</v>
      </c>
      <c r="H6" s="1032" t="s">
        <v>216</v>
      </c>
      <c r="I6" s="1019" t="s">
        <v>215</v>
      </c>
      <c r="J6" s="1017" t="s">
        <v>217</v>
      </c>
      <c r="K6" s="1019" t="s">
        <v>215</v>
      </c>
      <c r="L6" s="1017" t="s">
        <v>279</v>
      </c>
      <c r="M6" s="1019" t="s">
        <v>215</v>
      </c>
      <c r="N6" s="1027" t="s">
        <v>215</v>
      </c>
      <c r="O6" s="1029" t="s">
        <v>212</v>
      </c>
    </row>
    <row r="7" spans="1:15" ht="33.75" customHeight="1" thickBot="1" x14ac:dyDescent="0.3">
      <c r="A7" s="1020"/>
      <c r="B7" s="1021"/>
      <c r="C7" s="1022"/>
      <c r="D7" s="1018"/>
      <c r="E7" s="1019"/>
      <c r="F7" s="1018"/>
      <c r="G7" s="1031"/>
      <c r="H7" s="1033"/>
      <c r="I7" s="1019"/>
      <c r="J7" s="1018"/>
      <c r="K7" s="1019"/>
      <c r="L7" s="1018"/>
      <c r="M7" s="1019"/>
      <c r="N7" s="1028"/>
      <c r="O7" s="1029"/>
    </row>
    <row r="8" spans="1:15" ht="15" customHeight="1" x14ac:dyDescent="0.25">
      <c r="A8" s="533">
        <v>11000</v>
      </c>
      <c r="B8" s="536" t="s">
        <v>116</v>
      </c>
      <c r="C8" s="538" t="s">
        <v>213</v>
      </c>
      <c r="D8" s="574">
        <v>99849.317999999999</v>
      </c>
      <c r="E8" s="549">
        <f>D8/$D$17</f>
        <v>0.16852600190675179</v>
      </c>
      <c r="F8" s="582">
        <v>37527.631199148491</v>
      </c>
      <c r="G8" s="558">
        <v>221.72399999999999</v>
      </c>
      <c r="H8" s="578">
        <f>($F$13-F8)*G8*12</f>
        <v>36499628.957170725</v>
      </c>
      <c r="I8" s="562">
        <f>H8/$H$17</f>
        <v>0.24060805371235464</v>
      </c>
      <c r="J8" s="570">
        <v>5181</v>
      </c>
      <c r="K8" s="562">
        <f>J8/$J$17</f>
        <v>0.18301600197816947</v>
      </c>
      <c r="L8" s="570">
        <v>2934</v>
      </c>
      <c r="M8" s="562">
        <f>L8/$L$17</f>
        <v>0.13653497138070642</v>
      </c>
      <c r="N8" s="566">
        <f t="shared" ref="N8:N16" si="0">$D$5*E8+$F$5*I8+$J$5*K8+$L$5*M8</f>
        <v>0.19560871958353018</v>
      </c>
      <c r="O8" s="586">
        <f>$C$3*N8</f>
        <v>22495002.75210597</v>
      </c>
    </row>
    <row r="9" spans="1:15" ht="15" customHeight="1" x14ac:dyDescent="0.25">
      <c r="A9" s="522">
        <v>12000</v>
      </c>
      <c r="B9" s="473" t="s">
        <v>117</v>
      </c>
      <c r="C9" s="535" t="s">
        <v>213</v>
      </c>
      <c r="D9" s="575">
        <v>57183.654999999999</v>
      </c>
      <c r="E9" s="550">
        <f t="shared" ref="E9:E16" si="1">D9/$D$17</f>
        <v>9.6514757883123817E-2</v>
      </c>
      <c r="F9" s="583">
        <v>39462.259294224168</v>
      </c>
      <c r="G9" s="559">
        <v>120.756</v>
      </c>
      <c r="H9" s="579">
        <f t="shared" ref="H9:H16" si="2">($F$13-F9)*G9*12</f>
        <v>17075123.656167611</v>
      </c>
      <c r="I9" s="563">
        <f t="shared" ref="I9:I16" si="3">H9/$H$17</f>
        <v>0.11256038450772071</v>
      </c>
      <c r="J9" s="571">
        <v>2214</v>
      </c>
      <c r="K9" s="563">
        <f t="shared" ref="K9:K16" si="4">J9/$J$17</f>
        <v>7.8208343636299416E-2</v>
      </c>
      <c r="L9" s="571">
        <v>2066</v>
      </c>
      <c r="M9" s="563">
        <f t="shared" ref="M9:M16" si="5">L9/$L$17</f>
        <v>9.6142212294662382E-2</v>
      </c>
      <c r="N9" s="567">
        <f t="shared" si="0"/>
        <v>0.10106511254943401</v>
      </c>
      <c r="O9" s="587">
        <f t="shared" ref="O9:O16" si="6">$C$3*N9</f>
        <v>11622487.94318491</v>
      </c>
    </row>
    <row r="10" spans="1:15" ht="15" customHeight="1" x14ac:dyDescent="0.25">
      <c r="A10" s="522">
        <v>13000</v>
      </c>
      <c r="B10" s="473" t="s">
        <v>118</v>
      </c>
      <c r="C10" s="535" t="s">
        <v>213</v>
      </c>
      <c r="D10" s="575">
        <v>50984.262000000002</v>
      </c>
      <c r="E10" s="550">
        <f t="shared" si="1"/>
        <v>8.6051402324313658E-2</v>
      </c>
      <c r="F10" s="583">
        <v>40385.237253336374</v>
      </c>
      <c r="G10" s="559">
        <v>105.20399999999999</v>
      </c>
      <c r="H10" s="579">
        <f t="shared" si="2"/>
        <v>13710830.167208731</v>
      </c>
      <c r="I10" s="563">
        <f t="shared" si="3"/>
        <v>9.0382731429510074E-2</v>
      </c>
      <c r="J10" s="571">
        <v>2756</v>
      </c>
      <c r="K10" s="563">
        <f t="shared" si="4"/>
        <v>9.7354198311491044E-2</v>
      </c>
      <c r="L10" s="571">
        <v>2008</v>
      </c>
      <c r="M10" s="563">
        <f t="shared" si="5"/>
        <v>9.3443156964028107E-2</v>
      </c>
      <c r="N10" s="567">
        <f t="shared" si="0"/>
        <v>8.9653389029081418E-2</v>
      </c>
      <c r="O10" s="587">
        <f t="shared" si="6"/>
        <v>10310139.738344364</v>
      </c>
    </row>
    <row r="11" spans="1:15" ht="15" customHeight="1" x14ac:dyDescent="0.25">
      <c r="A11" s="522">
        <v>14000</v>
      </c>
      <c r="B11" s="473" t="s">
        <v>119</v>
      </c>
      <c r="C11" s="535" t="s">
        <v>213</v>
      </c>
      <c r="D11" s="575">
        <v>88660.837</v>
      </c>
      <c r="E11" s="550">
        <f t="shared" si="1"/>
        <v>0.14964204748315069</v>
      </c>
      <c r="F11" s="583">
        <v>49909.165163664038</v>
      </c>
      <c r="G11" s="559">
        <v>148.03700000000001</v>
      </c>
      <c r="H11" s="579">
        <f t="shared" si="2"/>
        <v>2374364.6953450367</v>
      </c>
      <c r="I11" s="563">
        <f t="shared" si="3"/>
        <v>1.565197467680178E-2</v>
      </c>
      <c r="J11" s="571">
        <v>4636</v>
      </c>
      <c r="K11" s="563">
        <f t="shared" si="4"/>
        <v>0.16376417393761702</v>
      </c>
      <c r="L11" s="571">
        <v>4074</v>
      </c>
      <c r="M11" s="563">
        <f t="shared" si="5"/>
        <v>0.18958536925869049</v>
      </c>
      <c r="N11" s="567">
        <f t="shared" si="0"/>
        <v>0.10145256318361175</v>
      </c>
      <c r="O11" s="587">
        <f t="shared" si="6"/>
        <v>11667044.766115351</v>
      </c>
    </row>
    <row r="12" spans="1:15" ht="15" customHeight="1" x14ac:dyDescent="0.25">
      <c r="A12" s="522">
        <v>15000</v>
      </c>
      <c r="B12" s="473" t="s">
        <v>120</v>
      </c>
      <c r="C12" s="535" t="s">
        <v>213</v>
      </c>
      <c r="D12" s="575">
        <v>78294.087</v>
      </c>
      <c r="E12" s="550">
        <f t="shared" si="1"/>
        <v>0.13214501329943376</v>
      </c>
      <c r="F12" s="583">
        <v>46568.36430987966</v>
      </c>
      <c r="G12" s="559">
        <v>140.10599999999999</v>
      </c>
      <c r="H12" s="579">
        <f t="shared" si="2"/>
        <v>7863954.3594440054</v>
      </c>
      <c r="I12" s="563">
        <f t="shared" si="3"/>
        <v>5.1839725689509515E-2</v>
      </c>
      <c r="J12" s="571">
        <v>4538</v>
      </c>
      <c r="K12" s="563">
        <f t="shared" si="4"/>
        <v>0.16030237733582958</v>
      </c>
      <c r="L12" s="571">
        <v>2925</v>
      </c>
      <c r="M12" s="563">
        <f t="shared" si="5"/>
        <v>0.13611615245009073</v>
      </c>
      <c r="N12" s="567">
        <f t="shared" si="0"/>
        <v>0.10323574857416935</v>
      </c>
      <c r="O12" s="587">
        <f t="shared" si="6"/>
        <v>11872111.086029476</v>
      </c>
    </row>
    <row r="13" spans="1:15" ht="15" customHeight="1" x14ac:dyDescent="0.25">
      <c r="A13" s="522">
        <v>17000</v>
      </c>
      <c r="B13" s="473" t="s">
        <v>122</v>
      </c>
      <c r="C13" s="535" t="s">
        <v>213</v>
      </c>
      <c r="D13" s="575">
        <v>53886.133999999998</v>
      </c>
      <c r="E13" s="550">
        <f t="shared" si="1"/>
        <v>9.0949191272708368E-2</v>
      </c>
      <c r="F13" s="851">
        <v>51245.748076125696</v>
      </c>
      <c r="G13" s="559">
        <v>87.626999999999995</v>
      </c>
      <c r="H13" s="579">
        <f t="shared" si="2"/>
        <v>0</v>
      </c>
      <c r="I13" s="563">
        <f t="shared" si="3"/>
        <v>0</v>
      </c>
      <c r="J13" s="571">
        <v>2359</v>
      </c>
      <c r="K13" s="563">
        <f t="shared" si="4"/>
        <v>8.3330389628739981E-2</v>
      </c>
      <c r="L13" s="571">
        <v>2398</v>
      </c>
      <c r="M13" s="563">
        <f t="shared" si="5"/>
        <v>0.11159197729070687</v>
      </c>
      <c r="N13" s="567">
        <f t="shared" si="0"/>
        <v>5.5871913201028037E-2</v>
      </c>
      <c r="O13" s="587">
        <f t="shared" si="6"/>
        <v>6425270.0181182241</v>
      </c>
    </row>
    <row r="14" spans="1:15" s="6" customFormat="1" ht="15" customHeight="1" x14ac:dyDescent="0.25">
      <c r="A14" s="522">
        <v>18000</v>
      </c>
      <c r="B14" s="473" t="s">
        <v>123</v>
      </c>
      <c r="C14" s="535" t="s">
        <v>213</v>
      </c>
      <c r="D14" s="575">
        <v>55755.269</v>
      </c>
      <c r="E14" s="550">
        <f t="shared" si="1"/>
        <v>9.4103923371869805E-2</v>
      </c>
      <c r="F14" s="583">
        <v>32338.092238663306</v>
      </c>
      <c r="G14" s="559">
        <v>143.678</v>
      </c>
      <c r="H14" s="579">
        <f t="shared" si="2"/>
        <v>32599370.104979053</v>
      </c>
      <c r="I14" s="563">
        <f t="shared" si="3"/>
        <v>0.21489728025486568</v>
      </c>
      <c r="J14" s="571">
        <v>2834</v>
      </c>
      <c r="K14" s="563">
        <f t="shared" si="4"/>
        <v>0.10010950581087287</v>
      </c>
      <c r="L14" s="571">
        <v>2359</v>
      </c>
      <c r="M14" s="563">
        <f t="shared" si="5"/>
        <v>0.109777095258039</v>
      </c>
      <c r="N14" s="567">
        <f t="shared" si="0"/>
        <v>0.1445891415575854</v>
      </c>
      <c r="O14" s="587">
        <f t="shared" si="6"/>
        <v>16627751.279122321</v>
      </c>
    </row>
    <row r="15" spans="1:15" ht="15" customHeight="1" x14ac:dyDescent="0.25">
      <c r="A15" s="522">
        <v>23000</v>
      </c>
      <c r="B15" s="473" t="s">
        <v>127</v>
      </c>
      <c r="C15" s="535" t="s">
        <v>213</v>
      </c>
      <c r="D15" s="575">
        <v>37303.146000000001</v>
      </c>
      <c r="E15" s="550">
        <f t="shared" si="1"/>
        <v>6.2960370484692149E-2</v>
      </c>
      <c r="F15" s="583">
        <v>28987.816818665025</v>
      </c>
      <c r="G15" s="559">
        <v>107.238</v>
      </c>
      <c r="H15" s="579">
        <f t="shared" si="2"/>
        <v>28642752.386250809</v>
      </c>
      <c r="I15" s="563">
        <f t="shared" si="3"/>
        <v>0.18881498528950849</v>
      </c>
      <c r="J15" s="571">
        <v>1870</v>
      </c>
      <c r="K15" s="563">
        <f t="shared" si="4"/>
        <v>6.6056731074923172E-2</v>
      </c>
      <c r="L15" s="571">
        <v>1415</v>
      </c>
      <c r="M15" s="563">
        <f t="shared" si="5"/>
        <v>6.5847642980129364E-2</v>
      </c>
      <c r="N15" s="567">
        <f t="shared" si="0"/>
        <v>0.11390057971518552</v>
      </c>
      <c r="O15" s="587">
        <f>$C$3*N15-0.2</f>
        <v>13098566.467246337</v>
      </c>
    </row>
    <row r="16" spans="1:15" ht="15" customHeight="1" thickBot="1" x14ac:dyDescent="0.3">
      <c r="A16" s="522">
        <v>24000</v>
      </c>
      <c r="B16" s="537" t="s">
        <v>128</v>
      </c>
      <c r="C16" s="535" t="s">
        <v>214</v>
      </c>
      <c r="D16" s="576">
        <v>70569.418000000005</v>
      </c>
      <c r="E16" s="551">
        <f t="shared" si="1"/>
        <v>0.11910729197395586</v>
      </c>
      <c r="F16" s="584">
        <v>43309.532226190917</v>
      </c>
      <c r="G16" s="560">
        <v>135.785</v>
      </c>
      <c r="H16" s="580">
        <f t="shared" si="2"/>
        <v>12931428.830200726</v>
      </c>
      <c r="I16" s="564">
        <f t="shared" si="3"/>
        <v>8.5244864439729048E-2</v>
      </c>
      <c r="J16" s="572">
        <v>1921</v>
      </c>
      <c r="K16" s="564">
        <f t="shared" si="4"/>
        <v>6.7858278286057436E-2</v>
      </c>
      <c r="L16" s="572">
        <v>1310</v>
      </c>
      <c r="M16" s="564">
        <f t="shared" si="5"/>
        <v>6.0961422122946626E-2</v>
      </c>
      <c r="N16" s="568">
        <f t="shared" si="0"/>
        <v>9.4622832606374385E-2</v>
      </c>
      <c r="O16" s="588">
        <f t="shared" si="6"/>
        <v>10881625.749733055</v>
      </c>
    </row>
    <row r="17" spans="1:15" ht="15.75" thickBot="1" x14ac:dyDescent="0.3">
      <c r="A17" s="1009" t="s">
        <v>142</v>
      </c>
      <c r="B17" s="1010"/>
      <c r="C17" s="1002"/>
      <c r="D17" s="577">
        <f>SUM(D8:D16)</f>
        <v>592486.12600000005</v>
      </c>
      <c r="E17" s="552">
        <f>SUM(E8:E16)</f>
        <v>0.99999999999999989</v>
      </c>
      <c r="F17" s="585">
        <f>D17/G17/12*1000</f>
        <v>40799.603218871416</v>
      </c>
      <c r="G17" s="561">
        <f t="shared" ref="G17:O17" si="7">SUM(G8:G16)</f>
        <v>1210.155</v>
      </c>
      <c r="H17" s="581">
        <f t="shared" si="7"/>
        <v>151697453.15676671</v>
      </c>
      <c r="I17" s="565">
        <f t="shared" si="7"/>
        <v>0.99999999999999989</v>
      </c>
      <c r="J17" s="573">
        <f t="shared" si="7"/>
        <v>28309</v>
      </c>
      <c r="K17" s="565">
        <f t="shared" si="7"/>
        <v>0.99999999999999989</v>
      </c>
      <c r="L17" s="573">
        <f t="shared" si="7"/>
        <v>21489</v>
      </c>
      <c r="M17" s="565">
        <f t="shared" si="7"/>
        <v>1</v>
      </c>
      <c r="N17" s="569">
        <f t="shared" si="7"/>
        <v>1</v>
      </c>
      <c r="O17" s="589">
        <f t="shared" si="7"/>
        <v>114999999.80000001</v>
      </c>
    </row>
    <row r="18" spans="1:15" s="854" customFormat="1" x14ac:dyDescent="0.25">
      <c r="A18" s="868" t="s">
        <v>292</v>
      </c>
      <c r="B18" s="861"/>
      <c r="C18" s="861"/>
      <c r="D18" s="862"/>
      <c r="E18" s="863"/>
      <c r="F18" s="864"/>
      <c r="G18" s="865"/>
      <c r="H18" s="866"/>
      <c r="I18" s="867"/>
      <c r="J18" s="866"/>
      <c r="K18" s="867"/>
      <c r="L18" s="866"/>
      <c r="M18" s="867"/>
      <c r="N18" s="867"/>
      <c r="O18" s="866"/>
    </row>
    <row r="20" spans="1:15" x14ac:dyDescent="0.25">
      <c r="A20" s="683" t="s">
        <v>2</v>
      </c>
    </row>
  </sheetData>
  <mergeCells count="22">
    <mergeCell ref="A5:C5"/>
    <mergeCell ref="N5:O5"/>
    <mergeCell ref="L6:L7"/>
    <mergeCell ref="M6:M7"/>
    <mergeCell ref="N6:N7"/>
    <mergeCell ref="O6:O7"/>
    <mergeCell ref="G6:G7"/>
    <mergeCell ref="H6:H7"/>
    <mergeCell ref="I6:I7"/>
    <mergeCell ref="L5:M5"/>
    <mergeCell ref="J5:K5"/>
    <mergeCell ref="F5:I5"/>
    <mergeCell ref="D5:E5"/>
    <mergeCell ref="A17:C17"/>
    <mergeCell ref="J6:J7"/>
    <mergeCell ref="K6:K7"/>
    <mergeCell ref="A6:A7"/>
    <mergeCell ref="B6:B7"/>
    <mergeCell ref="C6:C7"/>
    <mergeCell ref="D6:D7"/>
    <mergeCell ref="E6:E7"/>
    <mergeCell ref="F6:F7"/>
  </mergeCells>
  <hyperlinks>
    <hyperlink ref="A20" location="'0 Seznam'!A1" display="Seznam"/>
  </hyperlinks>
  <pageMargins left="0.7" right="0.7" top="0.78740157499999996" bottom="0.78740157499999996" header="0.3" footer="0.3"/>
  <pageSetup paperSize="8" orientation="landscape" r:id="rId1"/>
  <headerFooter>
    <oddHeader xml:space="preserve">&amp;LČ. j.: MSMT-2019/2019-1
</oddHeader>
  </headerFooter>
  <ignoredErrors>
    <ignoredError sqref="F17 O1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45"/>
  <sheetViews>
    <sheetView zoomScale="85" zoomScaleNormal="85" workbookViewId="0">
      <selection activeCell="H36" sqref="H36"/>
    </sheetView>
  </sheetViews>
  <sheetFormatPr defaultRowHeight="15" x14ac:dyDescent="0.25"/>
  <cols>
    <col min="2" max="2" width="61.140625" customWidth="1"/>
    <col min="3" max="7" width="17.7109375" customWidth="1"/>
    <col min="8" max="10" width="18" customWidth="1"/>
    <col min="11" max="13" width="17.7109375" customWidth="1"/>
  </cols>
  <sheetData>
    <row r="1" spans="1:12" ht="27.75" x14ac:dyDescent="0.4">
      <c r="A1" s="498" t="s">
        <v>185</v>
      </c>
      <c r="B1" s="499"/>
      <c r="C1" s="499"/>
      <c r="D1" s="499"/>
      <c r="E1" s="499"/>
      <c r="F1" s="499"/>
      <c r="G1" s="499"/>
      <c r="H1" s="499"/>
      <c r="I1" s="499"/>
    </row>
    <row r="2" spans="1:12" ht="28.5" x14ac:dyDescent="0.45">
      <c r="A2" s="500" t="s">
        <v>180</v>
      </c>
      <c r="B2" s="501"/>
      <c r="C2" s="501"/>
      <c r="D2" s="501"/>
      <c r="E2" s="501"/>
      <c r="F2" s="501"/>
      <c r="G2" s="501"/>
      <c r="H2" s="501"/>
      <c r="I2" s="501"/>
    </row>
    <row r="3" spans="1:12" ht="28.5" x14ac:dyDescent="0.45">
      <c r="A3" s="500"/>
      <c r="B3" s="501"/>
      <c r="C3" s="501"/>
      <c r="D3" s="501"/>
      <c r="E3" s="501"/>
      <c r="F3" s="501"/>
      <c r="G3" s="501"/>
      <c r="H3" s="501"/>
      <c r="I3" s="501"/>
    </row>
    <row r="4" spans="1:12" x14ac:dyDescent="0.25">
      <c r="A4" s="501"/>
      <c r="B4" s="502" t="s">
        <v>181</v>
      </c>
      <c r="C4" s="503">
        <f>SUM(C5:C7)</f>
        <v>20004059232</v>
      </c>
      <c r="D4" s="502" t="s">
        <v>182</v>
      </c>
      <c r="E4" s="501"/>
      <c r="F4" s="501"/>
      <c r="G4" s="501"/>
      <c r="H4" s="501"/>
      <c r="I4" s="501"/>
    </row>
    <row r="5" spans="1:12" x14ac:dyDescent="0.25">
      <c r="A5" s="501"/>
      <c r="B5" s="502" t="s">
        <v>186</v>
      </c>
      <c r="C5" s="503">
        <f>'1 Bilance'!O16</f>
        <v>16063835573.712</v>
      </c>
      <c r="D5" s="502" t="s">
        <v>182</v>
      </c>
      <c r="E5" s="502" t="s">
        <v>183</v>
      </c>
      <c r="F5" s="520">
        <f>C5/$C$4</f>
        <v>0.80302879467658639</v>
      </c>
      <c r="G5" s="501"/>
      <c r="H5" s="502" t="s">
        <v>189</v>
      </c>
      <c r="I5" s="521">
        <f>C5/($C$5+$C$6)</f>
        <v>0.82850000000000001</v>
      </c>
    </row>
    <row r="6" spans="1:12" x14ac:dyDescent="0.25">
      <c r="A6" s="501"/>
      <c r="B6" s="502" t="s">
        <v>187</v>
      </c>
      <c r="C6" s="503">
        <f>'1 Bilance'!O17</f>
        <v>3325223658.2880001</v>
      </c>
      <c r="D6" s="502" t="s">
        <v>182</v>
      </c>
      <c r="E6" s="502" t="s">
        <v>183</v>
      </c>
      <c r="F6" s="520">
        <f>C6/$C$4</f>
        <v>0.1662274451261733</v>
      </c>
      <c r="G6" s="501"/>
      <c r="H6" s="502" t="s">
        <v>189</v>
      </c>
      <c r="I6" s="521">
        <f>C6/($C$5+$C$6)</f>
        <v>0.17150000000000001</v>
      </c>
    </row>
    <row r="7" spans="1:12" s="6" customFormat="1" x14ac:dyDescent="0.25">
      <c r="A7" s="501"/>
      <c r="B7" s="502" t="s">
        <v>188</v>
      </c>
      <c r="C7" s="503">
        <f>'1 Bilance'!O18</f>
        <v>615000000</v>
      </c>
      <c r="D7" s="502" t="s">
        <v>182</v>
      </c>
      <c r="E7" s="502" t="s">
        <v>183</v>
      </c>
      <c r="F7" s="520">
        <f>C7/$C$4</f>
        <v>3.0743760197240351E-2</v>
      </c>
      <c r="G7" s="501"/>
      <c r="H7" s="504"/>
      <c r="I7" s="501"/>
    </row>
    <row r="8" spans="1:12" s="6" customFormat="1" x14ac:dyDescent="0.25">
      <c r="A8" s="501"/>
      <c r="B8" s="502" t="s">
        <v>194</v>
      </c>
      <c r="C8" s="503">
        <v>500000000</v>
      </c>
      <c r="D8" s="502" t="s">
        <v>182</v>
      </c>
      <c r="E8" s="502"/>
      <c r="F8" s="520"/>
      <c r="G8" s="501"/>
      <c r="H8" s="504"/>
      <c r="I8" s="501"/>
    </row>
    <row r="9" spans="1:12" x14ac:dyDescent="0.25">
      <c r="A9" s="501"/>
      <c r="B9" s="502" t="s">
        <v>195</v>
      </c>
      <c r="C9" s="503">
        <v>115000000</v>
      </c>
      <c r="D9" s="502" t="s">
        <v>182</v>
      </c>
      <c r="E9" s="501"/>
      <c r="F9" s="501"/>
      <c r="G9" s="501"/>
      <c r="H9" s="501"/>
      <c r="I9" s="505"/>
      <c r="J9" s="548"/>
      <c r="K9" s="505"/>
    </row>
    <row r="10" spans="1:12" s="6" customFormat="1" x14ac:dyDescent="0.25">
      <c r="A10" s="501"/>
      <c r="B10" s="502" t="s">
        <v>289</v>
      </c>
      <c r="C10" s="503">
        <v>29810000</v>
      </c>
      <c r="D10" s="502" t="s">
        <v>182</v>
      </c>
      <c r="E10" s="501"/>
      <c r="F10" s="501"/>
      <c r="G10" s="501"/>
      <c r="H10" s="501"/>
      <c r="I10" s="505"/>
      <c r="J10" s="548"/>
      <c r="K10" s="505"/>
    </row>
    <row r="11" spans="1:12" s="6" customFormat="1" ht="15.75" thickBot="1" x14ac:dyDescent="0.3">
      <c r="A11" s="501"/>
      <c r="B11" s="502"/>
      <c r="C11" s="501"/>
      <c r="D11" s="501"/>
      <c r="E11" s="501"/>
      <c r="F11" s="501"/>
      <c r="G11" s="501"/>
      <c r="H11" s="501"/>
      <c r="I11" s="505"/>
      <c r="K11" s="505"/>
      <c r="L11" s="700" t="s">
        <v>33</v>
      </c>
    </row>
    <row r="12" spans="1:12" x14ac:dyDescent="0.25">
      <c r="A12" s="1053" t="s">
        <v>114</v>
      </c>
      <c r="B12" s="1050" t="s">
        <v>115</v>
      </c>
      <c r="C12" s="1056" t="s">
        <v>190</v>
      </c>
      <c r="D12" s="1057"/>
      <c r="E12" s="1057"/>
      <c r="F12" s="1058"/>
      <c r="G12" s="1059" t="s">
        <v>191</v>
      </c>
      <c r="H12" s="1060"/>
      <c r="I12" s="966" t="s">
        <v>66</v>
      </c>
      <c r="J12" s="967"/>
      <c r="K12" s="1067" t="s">
        <v>275</v>
      </c>
      <c r="L12" s="1037" t="s">
        <v>184</v>
      </c>
    </row>
    <row r="13" spans="1:12" ht="30.75" customHeight="1" x14ac:dyDescent="0.25">
      <c r="A13" s="1054"/>
      <c r="B13" s="1051"/>
      <c r="C13" s="1048" t="s">
        <v>145</v>
      </c>
      <c r="D13" s="1046" t="s">
        <v>146</v>
      </c>
      <c r="E13" s="1044" t="s">
        <v>147</v>
      </c>
      <c r="F13" s="1065" t="s">
        <v>148</v>
      </c>
      <c r="G13" s="1063" t="s">
        <v>145</v>
      </c>
      <c r="H13" s="1061" t="s">
        <v>146</v>
      </c>
      <c r="I13" s="1042" t="s">
        <v>192</v>
      </c>
      <c r="J13" s="1040" t="s">
        <v>193</v>
      </c>
      <c r="K13" s="1068"/>
      <c r="L13" s="1038"/>
    </row>
    <row r="14" spans="1:12" s="6" customFormat="1" ht="15.75" thickBot="1" x14ac:dyDescent="0.3">
      <c r="A14" s="1055"/>
      <c r="B14" s="1052"/>
      <c r="C14" s="1049"/>
      <c r="D14" s="1047"/>
      <c r="E14" s="1045"/>
      <c r="F14" s="1066"/>
      <c r="G14" s="1064"/>
      <c r="H14" s="1062"/>
      <c r="I14" s="1043"/>
      <c r="J14" s="1041"/>
      <c r="K14" s="1069"/>
      <c r="L14" s="1039"/>
    </row>
    <row r="15" spans="1:12" x14ac:dyDescent="0.25">
      <c r="A15" s="523">
        <v>11000</v>
      </c>
      <c r="B15" s="525" t="s">
        <v>116</v>
      </c>
      <c r="C15" s="524">
        <f>'2 Stanovení podílů fixní části'!H7</f>
        <v>0.17769266393013733</v>
      </c>
      <c r="D15" s="276">
        <f t="shared" ref="D15:D40" si="0">+C$5*C15</f>
        <v>2854425736.0285912</v>
      </c>
      <c r="E15" s="276"/>
      <c r="F15" s="277">
        <f>D15-E15</f>
        <v>2854425736.0285912</v>
      </c>
      <c r="G15" s="527">
        <f>'3d Výkonová část segment 4'!V6</f>
        <v>0.20816092223241461</v>
      </c>
      <c r="H15" s="506">
        <f t="shared" ref="H15:H40" si="1">+C$6*G15</f>
        <v>692181623.33827364</v>
      </c>
      <c r="I15" s="276">
        <f>SUMIF('4a Společenské priority - LF'!$A$9:$A$16,'5 RO I'!A15,'4a Společenské priority - LF'!$I$9:$I$16)</f>
        <v>318209947.68755889</v>
      </c>
      <c r="J15" s="277">
        <f>SUMIF('4b Společenské priority - PedF'!$A$8:$A$16,'5 RO I'!A15,'4b Společenské priority - PedF'!$O$8:$O$16)</f>
        <v>22495002.75210597</v>
      </c>
      <c r="K15" s="835"/>
      <c r="L15" s="529">
        <f>F15+H15+I15+J15+K15</f>
        <v>3887312309.8065295</v>
      </c>
    </row>
    <row r="16" spans="1:12" x14ac:dyDescent="0.25">
      <c r="A16" s="522">
        <v>12000</v>
      </c>
      <c r="B16" s="526" t="s">
        <v>117</v>
      </c>
      <c r="C16" s="511">
        <f>'2 Stanovení podílů fixní části'!H8</f>
        <v>3.082602439109907E-2</v>
      </c>
      <c r="D16" s="280">
        <f t="shared" si="0"/>
        <v>495184187.20985103</v>
      </c>
      <c r="E16" s="280"/>
      <c r="F16" s="281">
        <f t="shared" ref="F16:F40" si="2">D16-E16</f>
        <v>495184187.20985103</v>
      </c>
      <c r="G16" s="528">
        <f>'3c Výkonová část segment 3'!V6</f>
        <v>3.0125577576315756E-2</v>
      </c>
      <c r="H16" s="507">
        <f t="shared" si="1"/>
        <v>100174283.27635562</v>
      </c>
      <c r="I16" s="276"/>
      <c r="J16" s="281">
        <f>SUMIF('4b Společenské priority - PedF'!$A$8:$A$16,'5 RO I'!A16,'4b Společenské priority - PedF'!$O$8:$O$16)</f>
        <v>11622487.94318491</v>
      </c>
      <c r="K16" s="836"/>
      <c r="L16" s="508">
        <f t="shared" ref="L16:L40" si="3">F16+H16+I16+J16+K16</f>
        <v>606980958.4293915</v>
      </c>
    </row>
    <row r="17" spans="1:15" x14ac:dyDescent="0.25">
      <c r="A17" s="522">
        <v>13000</v>
      </c>
      <c r="B17" s="526" t="s">
        <v>118</v>
      </c>
      <c r="C17" s="511">
        <f>'2 Stanovení podílů fixní části'!H9</f>
        <v>2.4582741623257617E-2</v>
      </c>
      <c r="D17" s="280">
        <f t="shared" si="0"/>
        <v>394893119.38705641</v>
      </c>
      <c r="E17" s="280"/>
      <c r="F17" s="281">
        <f t="shared" si="2"/>
        <v>394893119.38705641</v>
      </c>
      <c r="G17" s="528">
        <f>'3c Výkonová část segment 3'!V7</f>
        <v>1.5263990067406013E-2</v>
      </c>
      <c r="H17" s="507">
        <f t="shared" si="1"/>
        <v>50756180.892011523</v>
      </c>
      <c r="I17" s="276"/>
      <c r="J17" s="281">
        <f>SUMIF('4b Společenské priority - PedF'!$A$8:$A$16,'5 RO I'!A17,'4b Společenské priority - PedF'!$O$8:$O$16)</f>
        <v>10310139.738344364</v>
      </c>
      <c r="K17" s="836"/>
      <c r="L17" s="508">
        <f t="shared" si="3"/>
        <v>455959440.0174123</v>
      </c>
    </row>
    <row r="18" spans="1:15" x14ac:dyDescent="0.25">
      <c r="A18" s="522">
        <v>14000</v>
      </c>
      <c r="B18" s="526" t="s">
        <v>119</v>
      </c>
      <c r="C18" s="511">
        <f>'2 Stanovení podílů fixní části'!H10</f>
        <v>0.11343656061096324</v>
      </c>
      <c r="D18" s="280">
        <f t="shared" si="0"/>
        <v>1822226257.7019289</v>
      </c>
      <c r="E18" s="280"/>
      <c r="F18" s="281">
        <f t="shared" si="2"/>
        <v>1822226257.7019289</v>
      </c>
      <c r="G18" s="528">
        <f>'3d Výkonová část segment 4'!V7</f>
        <v>0.11714039600154558</v>
      </c>
      <c r="H18" s="507">
        <f t="shared" si="1"/>
        <v>389518016.1255644</v>
      </c>
      <c r="I18" s="276">
        <f>SUMIF('4a Společenské priority - LF'!$A$9:$A$16,'5 RO I'!A18,'4a Společenské priority - LF'!$I$9:$I$16)</f>
        <v>100016775.85603194</v>
      </c>
      <c r="J18" s="281">
        <f>SUMIF('4b Společenské priority - PedF'!$A$8:$A$16,'5 RO I'!A18,'4b Společenské priority - PedF'!$O$8:$O$16)</f>
        <v>11667044.766115351</v>
      </c>
      <c r="K18" s="836"/>
      <c r="L18" s="509">
        <f t="shared" si="3"/>
        <v>2323428094.4496403</v>
      </c>
      <c r="O18" s="841"/>
    </row>
    <row r="19" spans="1:15" x14ac:dyDescent="0.25">
      <c r="A19" s="522">
        <v>15000</v>
      </c>
      <c r="B19" s="526" t="s">
        <v>120</v>
      </c>
      <c r="C19" s="511">
        <f>'2 Stanovení podílů fixní části'!H11</f>
        <v>6.3291886180730228E-2</v>
      </c>
      <c r="D19" s="280">
        <f t="shared" si="0"/>
        <v>1016710452.7573452</v>
      </c>
      <c r="E19" s="280"/>
      <c r="F19" s="281">
        <f t="shared" si="2"/>
        <v>1016710452.7573452</v>
      </c>
      <c r="G19" s="528">
        <f>'3d Výkonová část segment 4'!V8</f>
        <v>7.7105623838097007E-2</v>
      </c>
      <c r="H19" s="507">
        <f t="shared" si="1"/>
        <v>256393444.57349536</v>
      </c>
      <c r="I19" s="276">
        <f>SUMIF('4a Společenské priority - LF'!$A$9:$A$16,'5 RO I'!A19,'4a Společenské priority - LF'!$I$9:$I$16)</f>
        <v>55263034.693835758</v>
      </c>
      <c r="J19" s="281">
        <f>SUMIF('4b Společenské priority - PedF'!$A$8:$A$16,'5 RO I'!A19,'4b Společenské priority - PedF'!$O$8:$O$16)</f>
        <v>11872111.086029476</v>
      </c>
      <c r="K19" s="836"/>
      <c r="L19" s="509">
        <f t="shared" si="3"/>
        <v>1340239043.1107059</v>
      </c>
    </row>
    <row r="20" spans="1:15" x14ac:dyDescent="0.25">
      <c r="A20" s="522">
        <v>16000</v>
      </c>
      <c r="B20" s="526" t="s">
        <v>121</v>
      </c>
      <c r="C20" s="511">
        <f>'2 Stanovení podílů fixní části'!H12</f>
        <v>1.5700719603240668E-2</v>
      </c>
      <c r="D20" s="280">
        <f t="shared" si="0"/>
        <v>252213778.09541479</v>
      </c>
      <c r="E20" s="280"/>
      <c r="F20" s="281">
        <f t="shared" si="2"/>
        <v>252213778.09541479</v>
      </c>
      <c r="G20" s="528">
        <f>'3c Výkonová část segment 3'!V8</f>
        <v>1.2378589298312434E-2</v>
      </c>
      <c r="H20" s="507">
        <f t="shared" si="1"/>
        <v>41161577.990979165</v>
      </c>
      <c r="I20" s="276"/>
      <c r="J20" s="281"/>
      <c r="K20" s="836"/>
      <c r="L20" s="508">
        <f t="shared" si="3"/>
        <v>293375356.08639395</v>
      </c>
    </row>
    <row r="21" spans="1:15" x14ac:dyDescent="0.25">
      <c r="A21" s="522">
        <v>17000</v>
      </c>
      <c r="B21" s="526" t="s">
        <v>122</v>
      </c>
      <c r="C21" s="511">
        <f>'2 Stanovení podílů fixní části'!H13</f>
        <v>2.7883961720174572E-2</v>
      </c>
      <c r="D21" s="280">
        <f t="shared" si="0"/>
        <v>447923376.21656394</v>
      </c>
      <c r="E21" s="280"/>
      <c r="F21" s="281">
        <f t="shared" si="2"/>
        <v>447923376.21656394</v>
      </c>
      <c r="G21" s="528">
        <f>'3c Výkonová část segment 3'!V9</f>
        <v>2.4061769058382101E-2</v>
      </c>
      <c r="H21" s="507">
        <f t="shared" si="1"/>
        <v>80010763.733194336</v>
      </c>
      <c r="I21" s="276">
        <f>SUMIF('4a Společenské priority - LF'!$A$9:$A$16,'5 RO I'!A21,'4a Společenské priority - LF'!$I$9:$I$16)</f>
        <v>26510241.362573456</v>
      </c>
      <c r="J21" s="281">
        <f>SUMIF('4b Společenské priority - PedF'!$A$8:$A$16,'5 RO I'!A21,'4b Společenské priority - PedF'!$O$8:$O$16)</f>
        <v>6425270.0181182241</v>
      </c>
      <c r="K21" s="836"/>
      <c r="L21" s="508">
        <f t="shared" si="3"/>
        <v>560869651.33045006</v>
      </c>
    </row>
    <row r="22" spans="1:15" x14ac:dyDescent="0.25">
      <c r="A22" s="522">
        <v>18000</v>
      </c>
      <c r="B22" s="526" t="s">
        <v>123</v>
      </c>
      <c r="C22" s="511">
        <f>'2 Stanovení podílů fixní části'!H14</f>
        <v>1.6988869327702848E-2</v>
      </c>
      <c r="D22" s="280">
        <f t="shared" si="0"/>
        <v>272906403.4634977</v>
      </c>
      <c r="E22" s="280"/>
      <c r="F22" s="281">
        <f t="shared" si="2"/>
        <v>272906403.4634977</v>
      </c>
      <c r="G22" s="528">
        <f>'3c Výkonová část segment 3'!V10</f>
        <v>1.5728593869397522E-2</v>
      </c>
      <c r="H22" s="507">
        <f t="shared" si="1"/>
        <v>52301092.446124241</v>
      </c>
      <c r="I22" s="276"/>
      <c r="J22" s="281">
        <f>SUMIF('4b Společenské priority - PedF'!$A$8:$A$16,'5 RO I'!A22,'4b Společenské priority - PedF'!$O$8:$O$16)</f>
        <v>16627751.279122321</v>
      </c>
      <c r="K22" s="836"/>
      <c r="L22" s="508">
        <f t="shared" si="3"/>
        <v>341835247.18874425</v>
      </c>
    </row>
    <row r="23" spans="1:15" x14ac:dyDescent="0.25">
      <c r="A23" s="522">
        <v>19000</v>
      </c>
      <c r="B23" s="526" t="s">
        <v>124</v>
      </c>
      <c r="C23" s="511">
        <f>'2 Stanovení podílů fixní části'!H15</f>
        <v>1.5380770044140011E-2</v>
      </c>
      <c r="D23" s="280">
        <f t="shared" si="0"/>
        <v>247074160.98614019</v>
      </c>
      <c r="E23" s="280"/>
      <c r="F23" s="281">
        <f t="shared" si="2"/>
        <v>247074160.98614019</v>
      </c>
      <c r="G23" s="528">
        <f>'3c Výkonová část segment 3'!V11</f>
        <v>1.0535035419505789E-2</v>
      </c>
      <c r="H23" s="507">
        <f t="shared" si="1"/>
        <v>35031349.017842695</v>
      </c>
      <c r="I23" s="276"/>
      <c r="J23" s="281"/>
      <c r="K23" s="836"/>
      <c r="L23" s="508">
        <f t="shared" si="3"/>
        <v>282105510.0039829</v>
      </c>
    </row>
    <row r="24" spans="1:15" x14ac:dyDescent="0.25">
      <c r="A24" s="522">
        <v>21000</v>
      </c>
      <c r="B24" s="526" t="s">
        <v>125</v>
      </c>
      <c r="C24" s="511">
        <f>'2 Stanovení podílů fixní části'!H16</f>
        <v>8.6000149591062336E-2</v>
      </c>
      <c r="D24" s="280">
        <f t="shared" si="0"/>
        <v>1381492262.3454607</v>
      </c>
      <c r="E24" s="280"/>
      <c r="F24" s="281">
        <f t="shared" si="2"/>
        <v>1381492262.3454607</v>
      </c>
      <c r="G24" s="528">
        <f>'3d Výkonová část segment 4'!V9</f>
        <v>9.0342089825825422E-2</v>
      </c>
      <c r="H24" s="507">
        <f t="shared" si="1"/>
        <v>300407654.42801434</v>
      </c>
      <c r="I24" s="276"/>
      <c r="J24" s="281"/>
      <c r="K24" s="836"/>
      <c r="L24" s="509">
        <f t="shared" si="3"/>
        <v>1681899916.7734749</v>
      </c>
    </row>
    <row r="25" spans="1:15" x14ac:dyDescent="0.25">
      <c r="A25" s="522">
        <v>22000</v>
      </c>
      <c r="B25" s="526" t="s">
        <v>126</v>
      </c>
      <c r="C25" s="511">
        <f>'2 Stanovení podílů fixní části'!H17</f>
        <v>2.2861221426518533E-2</v>
      </c>
      <c r="D25" s="280">
        <f t="shared" si="0"/>
        <v>367238902.00981539</v>
      </c>
      <c r="E25" s="280"/>
      <c r="F25" s="281">
        <f t="shared" si="2"/>
        <v>367238902.00981539</v>
      </c>
      <c r="G25" s="528">
        <f>'3c Výkonová část segment 3'!V12</f>
        <v>3.1296486593493218E-2</v>
      </c>
      <c r="H25" s="507">
        <f t="shared" si="1"/>
        <v>104067817.64197686</v>
      </c>
      <c r="I25" s="276"/>
      <c r="J25" s="281"/>
      <c r="K25" s="836"/>
      <c r="L25" s="508">
        <f t="shared" si="3"/>
        <v>471306719.65179229</v>
      </c>
    </row>
    <row r="26" spans="1:15" x14ac:dyDescent="0.25">
      <c r="A26" s="522">
        <v>23000</v>
      </c>
      <c r="B26" s="526" t="s">
        <v>127</v>
      </c>
      <c r="C26" s="511">
        <f>'2 Stanovení podílů fixní části'!H18</f>
        <v>3.7418715986449913E-2</v>
      </c>
      <c r="D26" s="280">
        <f t="shared" si="0"/>
        <v>601088100.98575997</v>
      </c>
      <c r="E26" s="280"/>
      <c r="F26" s="281">
        <f t="shared" si="2"/>
        <v>601088100.98575997</v>
      </c>
      <c r="G26" s="528">
        <f>'3c Výkonová část segment 3'!V13</f>
        <v>3.5520570535113635E-2</v>
      </c>
      <c r="H26" s="507">
        <f t="shared" si="1"/>
        <v>118113841.49924751</v>
      </c>
      <c r="I26" s="276"/>
      <c r="J26" s="281">
        <f>SUMIF('4b Společenské priority - PedF'!$A$8:$A$16,'5 RO I'!A26,'4b Společenské priority - PedF'!$O$8:$O$16)</f>
        <v>13098566.467246337</v>
      </c>
      <c r="K26" s="836"/>
      <c r="L26" s="508">
        <f t="shared" si="3"/>
        <v>732300508.95225382</v>
      </c>
    </row>
    <row r="27" spans="1:15" x14ac:dyDescent="0.25">
      <c r="A27" s="522">
        <v>24000</v>
      </c>
      <c r="B27" s="526" t="s">
        <v>128</v>
      </c>
      <c r="C27" s="511">
        <f>'2 Stanovení podílů fixní části'!H19</f>
        <v>2.1809672008994151E-2</v>
      </c>
      <c r="D27" s="280">
        <f t="shared" si="0"/>
        <v>350346985.06907111</v>
      </c>
      <c r="E27" s="280"/>
      <c r="F27" s="281">
        <f t="shared" si="2"/>
        <v>350346985.06907111</v>
      </c>
      <c r="G27" s="528">
        <f>'3c Výkonová část segment 3'!V14</f>
        <v>1.9715593210785566E-2</v>
      </c>
      <c r="H27" s="507">
        <f t="shared" si="1"/>
        <v>65558756.981686436</v>
      </c>
      <c r="I27" s="276"/>
      <c r="J27" s="281">
        <f>SUMIF('4b Společenské priority - PedF'!$A$8:$A$16,'5 RO I'!A27,'4b Společenské priority - PedF'!$O$8:$O$16)</f>
        <v>10881625.749733055</v>
      </c>
      <c r="K27" s="836"/>
      <c r="L27" s="508">
        <f t="shared" si="3"/>
        <v>426787367.80049056</v>
      </c>
    </row>
    <row r="28" spans="1:15" x14ac:dyDescent="0.25">
      <c r="A28" s="522">
        <v>25000</v>
      </c>
      <c r="B28" s="526" t="s">
        <v>129</v>
      </c>
      <c r="C28" s="511">
        <f>'2 Stanovení podílů fixní části'!H20</f>
        <v>2.6156400983062163E-2</v>
      </c>
      <c r="D28" s="280">
        <f t="shared" si="0"/>
        <v>420172124.59198952</v>
      </c>
      <c r="E28" s="280"/>
      <c r="F28" s="281">
        <f t="shared" si="2"/>
        <v>420172124.59198952</v>
      </c>
      <c r="G28" s="528">
        <f>'3c Výkonová část segment 3'!V15</f>
        <v>2.1596154646246524E-2</v>
      </c>
      <c r="H28" s="507">
        <f t="shared" si="1"/>
        <v>71812044.35774526</v>
      </c>
      <c r="I28" s="276"/>
      <c r="J28" s="281"/>
      <c r="K28" s="836"/>
      <c r="L28" s="508">
        <f t="shared" si="3"/>
        <v>491984168.94973481</v>
      </c>
    </row>
    <row r="29" spans="1:15" x14ac:dyDescent="0.25">
      <c r="A29" s="522">
        <v>26000</v>
      </c>
      <c r="B29" s="526" t="s">
        <v>130</v>
      </c>
      <c r="C29" s="511">
        <f>'2 Stanovení podílů fixní části'!H21</f>
        <v>6.9372909625618692E-2</v>
      </c>
      <c r="D29" s="280">
        <f t="shared" si="0"/>
        <v>1114395013.4959211</v>
      </c>
      <c r="E29" s="280"/>
      <c r="F29" s="281">
        <f t="shared" si="2"/>
        <v>1114395013.4959211</v>
      </c>
      <c r="G29" s="528">
        <f>'3d Výkonová část segment 4'!V10</f>
        <v>6.5097999790757241E-2</v>
      </c>
      <c r="H29" s="507">
        <f t="shared" si="1"/>
        <v>216465409.01145327</v>
      </c>
      <c r="I29" s="276"/>
      <c r="J29" s="281"/>
      <c r="K29" s="836"/>
      <c r="L29" s="509">
        <f t="shared" si="3"/>
        <v>1330860422.5073743</v>
      </c>
    </row>
    <row r="30" spans="1:15" x14ac:dyDescent="0.25">
      <c r="A30" s="522">
        <v>27000</v>
      </c>
      <c r="B30" s="526" t="s">
        <v>131</v>
      </c>
      <c r="C30" s="511">
        <f>'2 Stanovení podílů fixní části'!H22</f>
        <v>4.8347993229739039E-2</v>
      </c>
      <c r="D30" s="280">
        <f t="shared" si="0"/>
        <v>776654213.56146896</v>
      </c>
      <c r="E30" s="280">
        <v>5157390.9467302701</v>
      </c>
      <c r="F30" s="281">
        <f t="shared" si="2"/>
        <v>771496822.6147387</v>
      </c>
      <c r="G30" s="528">
        <f>'3c Výkonová část segment 3'!V16</f>
        <v>3.9563442704592548E-2</v>
      </c>
      <c r="H30" s="507">
        <f t="shared" si="1"/>
        <v>131557295.68463293</v>
      </c>
      <c r="I30" s="276"/>
      <c r="J30" s="281"/>
      <c r="K30" s="836"/>
      <c r="L30" s="508">
        <f t="shared" si="3"/>
        <v>903054118.2993716</v>
      </c>
    </row>
    <row r="31" spans="1:15" x14ac:dyDescent="0.25">
      <c r="A31" s="522">
        <v>28000</v>
      </c>
      <c r="B31" s="526" t="s">
        <v>132</v>
      </c>
      <c r="C31" s="511">
        <f>'2 Stanovení podílů fixní části'!H23</f>
        <v>3.1624516501885302E-2</v>
      </c>
      <c r="D31" s="280">
        <f t="shared" si="0"/>
        <v>508011033.18442732</v>
      </c>
      <c r="E31" s="280"/>
      <c r="F31" s="281">
        <f t="shared" si="2"/>
        <v>508011033.18442732</v>
      </c>
      <c r="G31" s="528">
        <f>'3c Výkonová část segment 3'!V17</f>
        <v>2.617478660916946E-2</v>
      </c>
      <c r="H31" s="507">
        <f t="shared" si="1"/>
        <v>87037019.683450222</v>
      </c>
      <c r="I31" s="276"/>
      <c r="J31" s="281"/>
      <c r="K31" s="836"/>
      <c r="L31" s="508">
        <f t="shared" si="3"/>
        <v>595048052.86787748</v>
      </c>
    </row>
    <row r="32" spans="1:15" x14ac:dyDescent="0.25">
      <c r="A32" s="522">
        <v>31000</v>
      </c>
      <c r="B32" s="526" t="s">
        <v>133</v>
      </c>
      <c r="C32" s="511">
        <f>'2 Stanovení podílů fixní části'!H24</f>
        <v>3.6223762423103448E-2</v>
      </c>
      <c r="D32" s="280">
        <f t="shared" si="0"/>
        <v>581892563.42594111</v>
      </c>
      <c r="E32" s="280"/>
      <c r="F32" s="281">
        <f t="shared" si="2"/>
        <v>581892563.42594111</v>
      </c>
      <c r="G32" s="528">
        <f>'3c Výkonová část segment 3'!V18</f>
        <v>3.5285019515884912E-2</v>
      </c>
      <c r="H32" s="507">
        <f t="shared" si="1"/>
        <v>117330581.6773743</v>
      </c>
      <c r="I32" s="276"/>
      <c r="J32" s="281"/>
      <c r="K32" s="836"/>
      <c r="L32" s="508">
        <f t="shared" si="3"/>
        <v>699223145.10331535</v>
      </c>
    </row>
    <row r="33" spans="1:14" x14ac:dyDescent="0.25">
      <c r="A33" s="522">
        <v>41000</v>
      </c>
      <c r="B33" s="526" t="s">
        <v>134</v>
      </c>
      <c r="C33" s="511">
        <f>'2 Stanovení podílů fixní části'!H25</f>
        <v>5.0773398703077011E-2</v>
      </c>
      <c r="D33" s="280">
        <f t="shared" si="0"/>
        <v>815615528.28475118</v>
      </c>
      <c r="E33" s="280"/>
      <c r="F33" s="281">
        <f t="shared" si="2"/>
        <v>815615528.28475118</v>
      </c>
      <c r="G33" s="528">
        <f>'3c Výkonová část segment 3'!V19</f>
        <v>4.8275313802245541E-2</v>
      </c>
      <c r="H33" s="507">
        <f t="shared" si="1"/>
        <v>160526215.56650409</v>
      </c>
      <c r="I33" s="276"/>
      <c r="J33" s="281"/>
      <c r="K33" s="836"/>
      <c r="L33" s="508">
        <f t="shared" si="3"/>
        <v>976141743.8512553</v>
      </c>
    </row>
    <row r="34" spans="1:14" x14ac:dyDescent="0.25">
      <c r="A34" s="522">
        <v>43000</v>
      </c>
      <c r="B34" s="526" t="s">
        <v>135</v>
      </c>
      <c r="C34" s="511">
        <f>'2 Stanovení podílů fixní části'!H26</f>
        <v>2.9669895062079548E-2</v>
      </c>
      <c r="D34" s="280">
        <f t="shared" si="0"/>
        <v>476612315.76653546</v>
      </c>
      <c r="E34" s="280"/>
      <c r="F34" s="281">
        <f t="shared" si="2"/>
        <v>476612315.76653546</v>
      </c>
      <c r="G34" s="528">
        <f>'3c Výkonová část segment 3'!V20</f>
        <v>3.1021826350986388E-2</v>
      </c>
      <c r="H34" s="507">
        <f t="shared" si="1"/>
        <v>103154510.90560204</v>
      </c>
      <c r="I34" s="280"/>
      <c r="J34" s="281"/>
      <c r="K34" s="836"/>
      <c r="L34" s="508">
        <f t="shared" si="3"/>
        <v>579766826.6721375</v>
      </c>
    </row>
    <row r="35" spans="1:14" x14ac:dyDescent="0.25">
      <c r="A35" s="522">
        <v>51000</v>
      </c>
      <c r="B35" s="526" t="s">
        <v>136</v>
      </c>
      <c r="C35" s="511">
        <f>'2 Stanovení podílů fixní části'!H27</f>
        <v>1.772E-2</v>
      </c>
      <c r="D35" s="280">
        <f t="shared" si="0"/>
        <v>284651166.36617661</v>
      </c>
      <c r="E35" s="280"/>
      <c r="F35" s="281">
        <f t="shared" si="2"/>
        <v>284651166.36617661</v>
      </c>
      <c r="G35" s="528">
        <f>'3a Výkonová část segment 1'!R6</f>
        <v>1.3979107750974948E-2</v>
      </c>
      <c r="H35" s="507">
        <f t="shared" si="1"/>
        <v>46483659.815299056</v>
      </c>
      <c r="I35" s="280"/>
      <c r="J35" s="281"/>
      <c r="K35" s="836">
        <f>0.443*$C$10</f>
        <v>13205830</v>
      </c>
      <c r="L35" s="510">
        <f t="shared" si="3"/>
        <v>344340656.18147564</v>
      </c>
    </row>
    <row r="36" spans="1:14" x14ac:dyDescent="0.25">
      <c r="A36" s="522">
        <v>52000</v>
      </c>
      <c r="B36" s="526" t="s">
        <v>137</v>
      </c>
      <c r="C36" s="511">
        <f>'2 Stanovení podílů fixní části'!H28</f>
        <v>4.8399999999999997E-3</v>
      </c>
      <c r="D36" s="280">
        <f t="shared" si="0"/>
        <v>77748964.176766068</v>
      </c>
      <c r="E36" s="280"/>
      <c r="F36" s="281">
        <f t="shared" si="2"/>
        <v>77748964.176766068</v>
      </c>
      <c r="G36" s="528">
        <f>'3a Výkonová část segment 1'!R7</f>
        <v>4.321141457822154E-3</v>
      </c>
      <c r="H36" s="507">
        <f t="shared" si="1"/>
        <v>14368761.806359325</v>
      </c>
      <c r="I36" s="280"/>
      <c r="J36" s="281"/>
      <c r="K36" s="836">
        <f>0.121*$C$10</f>
        <v>3607010</v>
      </c>
      <c r="L36" s="510">
        <f t="shared" si="3"/>
        <v>95724735.983125389</v>
      </c>
    </row>
    <row r="37" spans="1:14" x14ac:dyDescent="0.25">
      <c r="A37" s="522">
        <v>53000</v>
      </c>
      <c r="B37" s="526" t="s">
        <v>138</v>
      </c>
      <c r="C37" s="511">
        <f>'2 Stanovení podílů fixní části'!H29</f>
        <v>6.8000000000000005E-3</v>
      </c>
      <c r="D37" s="280">
        <f t="shared" si="0"/>
        <v>109234081.9012416</v>
      </c>
      <c r="E37" s="280"/>
      <c r="F37" s="281">
        <f t="shared" si="2"/>
        <v>109234081.9012416</v>
      </c>
      <c r="G37" s="528">
        <f>'3a Výkonová část segment 1'!R8</f>
        <v>7.126675070679175E-3</v>
      </c>
      <c r="H37" s="507">
        <f t="shared" si="1"/>
        <v>23697788.549953699</v>
      </c>
      <c r="I37" s="280"/>
      <c r="J37" s="281"/>
      <c r="K37" s="836">
        <f>0.17*$C$10</f>
        <v>5067700</v>
      </c>
      <c r="L37" s="510">
        <f t="shared" si="3"/>
        <v>137999570.4511953</v>
      </c>
    </row>
    <row r="38" spans="1:14" x14ac:dyDescent="0.25">
      <c r="A38" s="522">
        <v>54000</v>
      </c>
      <c r="B38" s="526" t="s">
        <v>139</v>
      </c>
      <c r="C38" s="511">
        <f>'2 Stanovení podílů fixní části'!H30</f>
        <v>1.064E-2</v>
      </c>
      <c r="D38" s="280">
        <f t="shared" si="0"/>
        <v>170919210.50429568</v>
      </c>
      <c r="E38" s="280"/>
      <c r="F38" s="281">
        <f t="shared" si="2"/>
        <v>170919210.50429568</v>
      </c>
      <c r="G38" s="528">
        <f>'3a Výkonová část segment 1'!R9</f>
        <v>6.6935850855524602E-3</v>
      </c>
      <c r="H38" s="507">
        <f t="shared" si="1"/>
        <v>22257667.485242747</v>
      </c>
      <c r="I38" s="280"/>
      <c r="J38" s="281"/>
      <c r="K38" s="836">
        <f>0.266*$C$10</f>
        <v>7929460</v>
      </c>
      <c r="L38" s="510">
        <f t="shared" si="3"/>
        <v>201106337.98953843</v>
      </c>
    </row>
    <row r="39" spans="1:14" x14ac:dyDescent="0.25">
      <c r="A39" s="522">
        <v>55000</v>
      </c>
      <c r="B39" s="526" t="s">
        <v>140</v>
      </c>
      <c r="C39" s="511">
        <f>'2 Stanovení podílů fixní části'!H31</f>
        <v>5.8242555510266344E-3</v>
      </c>
      <c r="D39" s="280">
        <f t="shared" si="0"/>
        <v>93559883.510971233</v>
      </c>
      <c r="E39" s="280"/>
      <c r="F39" s="281">
        <f t="shared" si="2"/>
        <v>93559883.510971233</v>
      </c>
      <c r="G39" s="279">
        <f>'3b Výkonová část segment 2'!J6</f>
        <v>6.1375817566844378E-3</v>
      </c>
      <c r="H39" s="507">
        <f t="shared" si="1"/>
        <v>20408832.062003918</v>
      </c>
      <c r="I39" s="280"/>
      <c r="J39" s="281"/>
      <c r="K39" s="836"/>
      <c r="L39" s="512">
        <f t="shared" si="3"/>
        <v>113968715.57297516</v>
      </c>
    </row>
    <row r="40" spans="1:14" ht="15" customHeight="1" thickBot="1" x14ac:dyDescent="0.3">
      <c r="A40" s="530">
        <v>56000</v>
      </c>
      <c r="B40" s="531" t="s">
        <v>141</v>
      </c>
      <c r="C40" s="532">
        <f>'2 Stanovení podílů fixní části'!H32</f>
        <v>8.1329114759375667E-3</v>
      </c>
      <c r="D40" s="284">
        <f t="shared" si="0"/>
        <v>130645752.68501645</v>
      </c>
      <c r="E40" s="284"/>
      <c r="F40" s="285">
        <f t="shared" si="2"/>
        <v>130645752.68501645</v>
      </c>
      <c r="G40" s="283">
        <f>'3b Výkonová část segment 2'!J7</f>
        <v>7.3521279318096234E-3</v>
      </c>
      <c r="H40" s="513">
        <f t="shared" si="1"/>
        <v>24447469.737613384</v>
      </c>
      <c r="I40" s="284"/>
      <c r="J40" s="285"/>
      <c r="K40" s="837"/>
      <c r="L40" s="514">
        <f t="shared" si="3"/>
        <v>155093222.42262983</v>
      </c>
    </row>
    <row r="41" spans="1:14" ht="15.75" thickBot="1" x14ac:dyDescent="0.3">
      <c r="A41" s="1009" t="s">
        <v>142</v>
      </c>
      <c r="B41" s="1002"/>
      <c r="C41" s="516">
        <f t="shared" ref="C41:L41" si="4">SUM(C15:C40)</f>
        <v>0.99999999999999978</v>
      </c>
      <c r="D41" s="288">
        <f t="shared" si="4"/>
        <v>16063835573.711996</v>
      </c>
      <c r="E41" s="288">
        <f t="shared" si="4"/>
        <v>5157390.9467302701</v>
      </c>
      <c r="F41" s="289">
        <f t="shared" si="4"/>
        <v>16058678182.765266</v>
      </c>
      <c r="G41" s="287">
        <f t="shared" si="4"/>
        <v>1.0000000000000002</v>
      </c>
      <c r="H41" s="515">
        <f t="shared" si="4"/>
        <v>3325223658.2880006</v>
      </c>
      <c r="I41" s="288">
        <f t="shared" si="4"/>
        <v>499999999.60000002</v>
      </c>
      <c r="J41" s="289">
        <f t="shared" si="4"/>
        <v>114999999.80000001</v>
      </c>
      <c r="K41" s="517">
        <f t="shared" si="4"/>
        <v>29810000</v>
      </c>
      <c r="L41" s="517">
        <f t="shared" si="4"/>
        <v>20028711840.453266</v>
      </c>
      <c r="N41" s="393"/>
    </row>
    <row r="42" spans="1:14" ht="18" x14ac:dyDescent="0.3">
      <c r="A42" s="518" t="s">
        <v>287</v>
      </c>
      <c r="B42" s="501"/>
      <c r="C42" s="501"/>
      <c r="D42" s="501"/>
      <c r="E42" s="501"/>
      <c r="F42" s="501"/>
      <c r="G42" s="501"/>
      <c r="H42" s="519"/>
      <c r="I42" s="501"/>
    </row>
    <row r="43" spans="1:14" s="6" customFormat="1" ht="18" x14ac:dyDescent="0.3">
      <c r="A43" s="518" t="s">
        <v>288</v>
      </c>
      <c r="B43" s="501"/>
      <c r="C43" s="501"/>
      <c r="D43" s="501"/>
      <c r="E43" s="501"/>
      <c r="F43" s="501"/>
      <c r="G43" s="501"/>
      <c r="H43" s="519"/>
      <c r="I43" s="501"/>
    </row>
    <row r="45" spans="1:14" x14ac:dyDescent="0.25">
      <c r="A45" s="683" t="s">
        <v>2</v>
      </c>
    </row>
  </sheetData>
  <mergeCells count="16">
    <mergeCell ref="A41:B41"/>
    <mergeCell ref="L12:L14"/>
    <mergeCell ref="J13:J14"/>
    <mergeCell ref="I13:I14"/>
    <mergeCell ref="I12:J12"/>
    <mergeCell ref="E13:E14"/>
    <mergeCell ref="D13:D14"/>
    <mergeCell ref="C13:C14"/>
    <mergeCell ref="B12:B14"/>
    <mergeCell ref="A12:A14"/>
    <mergeCell ref="C12:F12"/>
    <mergeCell ref="G12:H12"/>
    <mergeCell ref="H13:H14"/>
    <mergeCell ref="G13:G14"/>
    <mergeCell ref="F13:F14"/>
    <mergeCell ref="K12:K14"/>
  </mergeCells>
  <hyperlinks>
    <hyperlink ref="A45" location="'0 Seznam'!A1" display="Seznam"/>
  </hyperlinks>
  <pageMargins left="0.7" right="0.7" top="0.78740157499999996" bottom="0.78740157499999996" header="0.3" footer="0.3"/>
  <pageSetup paperSize="9" orientation="landscape" r:id="rId1"/>
  <headerFooter>
    <oddHeader xml:space="preserve">&amp;LČ. j.: MSMT-2019/2019-1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9"/>
  <sheetViews>
    <sheetView topLeftCell="A4" zoomScale="85" zoomScaleNormal="85" workbookViewId="0">
      <selection sqref="A1:H1"/>
    </sheetView>
  </sheetViews>
  <sheetFormatPr defaultRowHeight="15" x14ac:dyDescent="0.25"/>
  <cols>
    <col min="1" max="1" width="11.5703125" customWidth="1"/>
    <col min="2" max="2" width="63.7109375" customWidth="1"/>
    <col min="3" max="4" width="20.7109375" customWidth="1"/>
  </cols>
  <sheetData>
    <row r="1" spans="1:4" ht="27.75" x14ac:dyDescent="0.25">
      <c r="A1" s="1070" t="s">
        <v>18</v>
      </c>
      <c r="B1" s="1070"/>
      <c r="C1" s="1070"/>
      <c r="D1" s="1070"/>
    </row>
    <row r="2" spans="1:4" ht="19.5" x14ac:dyDescent="0.25">
      <c r="A2" s="469"/>
      <c r="B2" s="469"/>
      <c r="C2" s="469"/>
      <c r="D2" s="469"/>
    </row>
    <row r="3" spans="1:4" ht="20.25" x14ac:dyDescent="0.25">
      <c r="A3" s="470" t="s">
        <v>227</v>
      </c>
      <c r="B3" s="469"/>
      <c r="C3" s="469"/>
      <c r="D3" s="469"/>
    </row>
    <row r="4" spans="1:4" ht="26.25" x14ac:dyDescent="0.25">
      <c r="A4" s="471"/>
      <c r="B4" s="471"/>
      <c r="C4" s="471"/>
      <c r="D4" s="471"/>
    </row>
    <row r="5" spans="1:4" x14ac:dyDescent="0.25">
      <c r="A5" s="472"/>
      <c r="B5" s="473" t="s">
        <v>173</v>
      </c>
      <c r="C5" s="474">
        <v>13500</v>
      </c>
      <c r="D5" s="475" t="s">
        <v>174</v>
      </c>
    </row>
    <row r="6" spans="1:4" x14ac:dyDescent="0.25">
      <c r="A6" s="476"/>
      <c r="B6" s="473" t="s">
        <v>175</v>
      </c>
      <c r="C6" s="474">
        <f>'1 Bilance'!O5</f>
        <v>135000</v>
      </c>
      <c r="D6" s="475" t="s">
        <v>176</v>
      </c>
    </row>
    <row r="7" spans="1:4" x14ac:dyDescent="0.25">
      <c r="A7" s="476"/>
      <c r="B7" s="477"/>
      <c r="C7" s="478"/>
      <c r="D7" s="478"/>
    </row>
    <row r="8" spans="1:4" ht="15.75" thickBot="1" x14ac:dyDescent="0.3">
      <c r="A8" s="479"/>
      <c r="B8" s="479"/>
      <c r="C8" s="479"/>
      <c r="D8" s="852" t="s">
        <v>177</v>
      </c>
    </row>
    <row r="9" spans="1:4" ht="30.75" thickBot="1" x14ac:dyDescent="0.3">
      <c r="A9" s="480" t="s">
        <v>114</v>
      </c>
      <c r="B9" s="481" t="s">
        <v>115</v>
      </c>
      <c r="C9" s="482" t="s">
        <v>178</v>
      </c>
      <c r="D9" s="483" t="s">
        <v>179</v>
      </c>
    </row>
    <row r="10" spans="1:4" x14ac:dyDescent="0.25">
      <c r="A10" s="484">
        <v>11000</v>
      </c>
      <c r="B10" s="485" t="s">
        <v>116</v>
      </c>
      <c r="C10" s="486">
        <v>2957</v>
      </c>
      <c r="D10" s="487">
        <f>C10*$C$6</f>
        <v>399195000</v>
      </c>
    </row>
    <row r="11" spans="1:4" x14ac:dyDescent="0.25">
      <c r="A11" s="484">
        <v>12000</v>
      </c>
      <c r="B11" s="485" t="s">
        <v>117</v>
      </c>
      <c r="C11" s="486">
        <v>330</v>
      </c>
      <c r="D11" s="488">
        <f t="shared" ref="D11:D35" si="0">C11*$C$6</f>
        <v>44550000</v>
      </c>
    </row>
    <row r="12" spans="1:4" x14ac:dyDescent="0.25">
      <c r="A12" s="484">
        <v>13000</v>
      </c>
      <c r="B12" s="485" t="s">
        <v>118</v>
      </c>
      <c r="C12" s="486">
        <v>121</v>
      </c>
      <c r="D12" s="488">
        <f t="shared" si="0"/>
        <v>16335000</v>
      </c>
    </row>
    <row r="13" spans="1:4" x14ac:dyDescent="0.25">
      <c r="A13" s="484">
        <v>14000</v>
      </c>
      <c r="B13" s="485" t="s">
        <v>119</v>
      </c>
      <c r="C13" s="486">
        <v>1547</v>
      </c>
      <c r="D13" s="488">
        <f t="shared" si="0"/>
        <v>208845000</v>
      </c>
    </row>
    <row r="14" spans="1:4" x14ac:dyDescent="0.25">
      <c r="A14" s="484">
        <v>15000</v>
      </c>
      <c r="B14" s="485" t="s">
        <v>120</v>
      </c>
      <c r="C14" s="486">
        <v>715</v>
      </c>
      <c r="D14" s="488">
        <f t="shared" si="0"/>
        <v>96525000</v>
      </c>
    </row>
    <row r="15" spans="1:4" x14ac:dyDescent="0.25">
      <c r="A15" s="484">
        <v>16000</v>
      </c>
      <c r="B15" s="485" t="s">
        <v>121</v>
      </c>
      <c r="C15" s="486">
        <v>138</v>
      </c>
      <c r="D15" s="488">
        <f t="shared" si="0"/>
        <v>18630000</v>
      </c>
    </row>
    <row r="16" spans="1:4" x14ac:dyDescent="0.25">
      <c r="A16" s="484">
        <v>17000</v>
      </c>
      <c r="B16" s="485" t="s">
        <v>122</v>
      </c>
      <c r="C16" s="486">
        <v>196</v>
      </c>
      <c r="D16" s="488">
        <f t="shared" si="0"/>
        <v>26460000</v>
      </c>
    </row>
    <row r="17" spans="1:4" x14ac:dyDescent="0.25">
      <c r="A17" s="484">
        <v>18000</v>
      </c>
      <c r="B17" s="485" t="s">
        <v>123</v>
      </c>
      <c r="C17" s="486">
        <v>90</v>
      </c>
      <c r="D17" s="488">
        <f t="shared" si="0"/>
        <v>12150000</v>
      </c>
    </row>
    <row r="18" spans="1:4" x14ac:dyDescent="0.25">
      <c r="A18" s="484">
        <v>19000</v>
      </c>
      <c r="B18" s="485" t="s">
        <v>124</v>
      </c>
      <c r="C18" s="486">
        <v>37</v>
      </c>
      <c r="D18" s="488">
        <f t="shared" si="0"/>
        <v>4995000</v>
      </c>
    </row>
    <row r="19" spans="1:4" x14ac:dyDescent="0.25">
      <c r="A19" s="484">
        <v>21000</v>
      </c>
      <c r="B19" s="485" t="s">
        <v>125</v>
      </c>
      <c r="C19" s="486">
        <v>827</v>
      </c>
      <c r="D19" s="488">
        <f t="shared" si="0"/>
        <v>111645000</v>
      </c>
    </row>
    <row r="20" spans="1:4" x14ac:dyDescent="0.25">
      <c r="A20" s="484">
        <v>22000</v>
      </c>
      <c r="B20" s="485" t="s">
        <v>126</v>
      </c>
      <c r="C20" s="486">
        <v>460</v>
      </c>
      <c r="D20" s="488">
        <f t="shared" si="0"/>
        <v>62100000</v>
      </c>
    </row>
    <row r="21" spans="1:4" x14ac:dyDescent="0.25">
      <c r="A21" s="484">
        <v>23000</v>
      </c>
      <c r="B21" s="485" t="s">
        <v>127</v>
      </c>
      <c r="C21" s="486">
        <v>254</v>
      </c>
      <c r="D21" s="488">
        <f t="shared" si="0"/>
        <v>34290000</v>
      </c>
    </row>
    <row r="22" spans="1:4" x14ac:dyDescent="0.25">
      <c r="A22" s="484">
        <v>24000</v>
      </c>
      <c r="B22" s="485" t="s">
        <v>128</v>
      </c>
      <c r="C22" s="486">
        <v>127</v>
      </c>
      <c r="D22" s="488">
        <f t="shared" si="0"/>
        <v>17145000</v>
      </c>
    </row>
    <row r="23" spans="1:4" x14ac:dyDescent="0.25">
      <c r="A23" s="484">
        <v>25000</v>
      </c>
      <c r="B23" s="485" t="s">
        <v>129</v>
      </c>
      <c r="C23" s="486">
        <v>160</v>
      </c>
      <c r="D23" s="488">
        <f t="shared" si="0"/>
        <v>21600000</v>
      </c>
    </row>
    <row r="24" spans="1:4" x14ac:dyDescent="0.25">
      <c r="A24" s="484">
        <v>26000</v>
      </c>
      <c r="B24" s="485" t="s">
        <v>130</v>
      </c>
      <c r="C24" s="486">
        <v>808</v>
      </c>
      <c r="D24" s="488">
        <f t="shared" si="0"/>
        <v>109080000</v>
      </c>
    </row>
    <row r="25" spans="1:4" x14ac:dyDescent="0.25">
      <c r="A25" s="484">
        <v>27000</v>
      </c>
      <c r="B25" s="485" t="s">
        <v>131</v>
      </c>
      <c r="C25" s="486">
        <v>441</v>
      </c>
      <c r="D25" s="488">
        <f t="shared" si="0"/>
        <v>59535000</v>
      </c>
    </row>
    <row r="26" spans="1:4" x14ac:dyDescent="0.25">
      <c r="A26" s="484">
        <v>28000</v>
      </c>
      <c r="B26" s="485" t="s">
        <v>132</v>
      </c>
      <c r="C26" s="486">
        <v>123</v>
      </c>
      <c r="D26" s="488">
        <f t="shared" si="0"/>
        <v>16605000</v>
      </c>
    </row>
    <row r="27" spans="1:4" x14ac:dyDescent="0.25">
      <c r="A27" s="484">
        <v>31000</v>
      </c>
      <c r="B27" s="485" t="s">
        <v>133</v>
      </c>
      <c r="C27" s="486">
        <v>194</v>
      </c>
      <c r="D27" s="488">
        <f t="shared" si="0"/>
        <v>26190000</v>
      </c>
    </row>
    <row r="28" spans="1:4" x14ac:dyDescent="0.25">
      <c r="A28" s="484">
        <v>41000</v>
      </c>
      <c r="B28" s="485" t="s">
        <v>134</v>
      </c>
      <c r="C28" s="486">
        <v>560</v>
      </c>
      <c r="D28" s="488">
        <f t="shared" si="0"/>
        <v>75600000</v>
      </c>
    </row>
    <row r="29" spans="1:4" x14ac:dyDescent="0.25">
      <c r="A29" s="484">
        <v>43000</v>
      </c>
      <c r="B29" s="485" t="s">
        <v>135</v>
      </c>
      <c r="C29" s="486">
        <v>296</v>
      </c>
      <c r="D29" s="488">
        <f t="shared" si="0"/>
        <v>39960000</v>
      </c>
    </row>
    <row r="30" spans="1:4" x14ac:dyDescent="0.25">
      <c r="A30" s="484">
        <v>51000</v>
      </c>
      <c r="B30" s="485" t="s">
        <v>136</v>
      </c>
      <c r="C30" s="486">
        <v>63</v>
      </c>
      <c r="D30" s="488">
        <f t="shared" si="0"/>
        <v>8505000</v>
      </c>
    </row>
    <row r="31" spans="1:4" x14ac:dyDescent="0.25">
      <c r="A31" s="484">
        <v>52000</v>
      </c>
      <c r="B31" s="485" t="s">
        <v>137</v>
      </c>
      <c r="C31" s="486">
        <v>19</v>
      </c>
      <c r="D31" s="488">
        <f t="shared" si="0"/>
        <v>2565000</v>
      </c>
    </row>
    <row r="32" spans="1:4" x14ac:dyDescent="0.25">
      <c r="A32" s="484">
        <v>53000</v>
      </c>
      <c r="B32" s="485" t="s">
        <v>138</v>
      </c>
      <c r="C32" s="486">
        <v>34</v>
      </c>
      <c r="D32" s="488">
        <f t="shared" si="0"/>
        <v>4590000</v>
      </c>
    </row>
    <row r="33" spans="1:4" x14ac:dyDescent="0.25">
      <c r="A33" s="484">
        <v>54000</v>
      </c>
      <c r="B33" s="485" t="s">
        <v>139</v>
      </c>
      <c r="C33" s="486">
        <v>35</v>
      </c>
      <c r="D33" s="488">
        <f t="shared" si="0"/>
        <v>4725000</v>
      </c>
    </row>
    <row r="34" spans="1:4" x14ac:dyDescent="0.25">
      <c r="A34" s="484">
        <v>55000</v>
      </c>
      <c r="B34" s="485" t="s">
        <v>140</v>
      </c>
      <c r="C34" s="486">
        <v>0</v>
      </c>
      <c r="D34" s="488">
        <f t="shared" si="0"/>
        <v>0</v>
      </c>
    </row>
    <row r="35" spans="1:4" ht="15.75" thickBot="1" x14ac:dyDescent="0.3">
      <c r="A35" s="489">
        <v>56000</v>
      </c>
      <c r="B35" s="490" t="s">
        <v>141</v>
      </c>
      <c r="C35" s="491">
        <v>0</v>
      </c>
      <c r="D35" s="492">
        <f t="shared" si="0"/>
        <v>0</v>
      </c>
    </row>
    <row r="36" spans="1:4" ht="15.75" thickBot="1" x14ac:dyDescent="0.3">
      <c r="A36" s="493"/>
      <c r="B36" s="494" t="s">
        <v>142</v>
      </c>
      <c r="C36" s="495">
        <f>SUM(C10:C35)</f>
        <v>10532</v>
      </c>
      <c r="D36" s="496">
        <f>SUM(D10:D35)</f>
        <v>1421820000</v>
      </c>
    </row>
    <row r="37" spans="1:4" x14ac:dyDescent="0.25">
      <c r="A37" s="869" t="s">
        <v>242</v>
      </c>
      <c r="B37" s="497"/>
      <c r="C37" s="497"/>
      <c r="D37" s="497"/>
    </row>
    <row r="39" spans="1:4" x14ac:dyDescent="0.25">
      <c r="A39" s="683" t="s">
        <v>2</v>
      </c>
    </row>
  </sheetData>
  <mergeCells count="1">
    <mergeCell ref="A1:D1"/>
  </mergeCells>
  <hyperlinks>
    <hyperlink ref="A39" location="'0 Seznam'!A1" display="Seznam"/>
  </hyperlinks>
  <pageMargins left="0.7" right="0.7" top="0.78740157499999996" bottom="0.78740157499999996" header="0.3" footer="0.3"/>
  <pageSetup paperSize="9" orientation="portrait" r:id="rId1"/>
  <headerFooter>
    <oddHeader xml:space="preserve">&amp;LČ. j.: MSMT-2019/2019-1
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"/>
  <sheetViews>
    <sheetView topLeftCell="A4" zoomScale="85" zoomScaleNormal="85" workbookViewId="0">
      <selection sqref="A1:H1"/>
    </sheetView>
  </sheetViews>
  <sheetFormatPr defaultRowHeight="15" x14ac:dyDescent="0.25"/>
  <cols>
    <col min="1" max="1" width="10.140625" customWidth="1"/>
    <col min="2" max="2" width="61.140625" customWidth="1"/>
    <col min="3" max="7" width="16.7109375" customWidth="1"/>
  </cols>
  <sheetData>
    <row r="1" spans="1:7" ht="27.75" x14ac:dyDescent="0.25">
      <c r="A1" s="598" t="s">
        <v>26</v>
      </c>
    </row>
    <row r="2" spans="1:7" x14ac:dyDescent="0.25">
      <c r="A2" s="599"/>
    </row>
    <row r="3" spans="1:7" ht="20.25" x14ac:dyDescent="0.25">
      <c r="A3" s="600" t="s">
        <v>219</v>
      </c>
    </row>
    <row r="4" spans="1:7" ht="15.75" thickBot="1" x14ac:dyDescent="0.3"/>
    <row r="5" spans="1:7" x14ac:dyDescent="0.25">
      <c r="A5" s="1071" t="s">
        <v>114</v>
      </c>
      <c r="B5" s="1073" t="s">
        <v>115</v>
      </c>
      <c r="C5" s="601" t="s">
        <v>220</v>
      </c>
      <c r="D5" s="601"/>
      <c r="E5" s="601"/>
      <c r="F5" s="602"/>
      <c r="G5" s="1075" t="s">
        <v>228</v>
      </c>
    </row>
    <row r="6" spans="1:7" ht="26.25" thickBot="1" x14ac:dyDescent="0.3">
      <c r="A6" s="1072"/>
      <c r="B6" s="1074"/>
      <c r="C6" s="603" t="s">
        <v>221</v>
      </c>
      <c r="D6" s="604" t="s">
        <v>222</v>
      </c>
      <c r="E6" s="604" t="s">
        <v>223</v>
      </c>
      <c r="F6" s="604" t="s">
        <v>224</v>
      </c>
      <c r="G6" s="1076"/>
    </row>
    <row r="7" spans="1:7" x14ac:dyDescent="0.25">
      <c r="A7" s="605">
        <v>11000</v>
      </c>
      <c r="B7" s="606" t="s">
        <v>116</v>
      </c>
      <c r="C7" s="607">
        <v>701424</v>
      </c>
      <c r="D7" s="608">
        <v>66178</v>
      </c>
      <c r="E7" s="608">
        <f>+D7*0.4</f>
        <v>26471.200000000001</v>
      </c>
      <c r="F7" s="608">
        <f>C7+E7</f>
        <v>727895.2</v>
      </c>
      <c r="G7" s="609">
        <f>ROUND(F7*G$35,-3)</f>
        <v>13066000</v>
      </c>
    </row>
    <row r="8" spans="1:7" x14ac:dyDescent="0.25">
      <c r="A8" s="610">
        <v>12000</v>
      </c>
      <c r="B8" s="611" t="s">
        <v>117</v>
      </c>
      <c r="C8" s="607">
        <v>268287</v>
      </c>
      <c r="D8" s="608">
        <v>11914</v>
      </c>
      <c r="E8" s="608">
        <f t="shared" ref="E8:E32" si="0">+D8*0.4</f>
        <v>4765.6000000000004</v>
      </c>
      <c r="F8" s="608">
        <f>C8+E8</f>
        <v>273052.59999999998</v>
      </c>
      <c r="G8" s="609">
        <f t="shared" ref="G8:G32" si="1">ROUND(F8*G$35,-3)</f>
        <v>4901000</v>
      </c>
    </row>
    <row r="9" spans="1:7" x14ac:dyDescent="0.25">
      <c r="A9" s="610">
        <v>13000</v>
      </c>
      <c r="B9" s="611" t="s">
        <v>118</v>
      </c>
      <c r="C9" s="607">
        <v>18353</v>
      </c>
      <c r="D9" s="608">
        <v>4491</v>
      </c>
      <c r="E9" s="608">
        <f t="shared" si="0"/>
        <v>1796.4</v>
      </c>
      <c r="F9" s="608">
        <f t="shared" ref="F9:F32" si="2">C9+E9</f>
        <v>20149.400000000001</v>
      </c>
      <c r="G9" s="609">
        <f t="shared" si="1"/>
        <v>362000</v>
      </c>
    </row>
    <row r="10" spans="1:7" x14ac:dyDescent="0.25">
      <c r="A10" s="610">
        <v>14000</v>
      </c>
      <c r="B10" s="611" t="s">
        <v>119</v>
      </c>
      <c r="C10" s="607">
        <v>936465</v>
      </c>
      <c r="D10" s="608">
        <v>103013</v>
      </c>
      <c r="E10" s="608">
        <f t="shared" si="0"/>
        <v>41205.200000000004</v>
      </c>
      <c r="F10" s="608">
        <f t="shared" si="2"/>
        <v>977670.2</v>
      </c>
      <c r="G10" s="609">
        <f t="shared" si="1"/>
        <v>17549000</v>
      </c>
    </row>
    <row r="11" spans="1:7" x14ac:dyDescent="0.25">
      <c r="A11" s="610">
        <v>15000</v>
      </c>
      <c r="B11" s="611" t="s">
        <v>120</v>
      </c>
      <c r="C11" s="607">
        <v>439149</v>
      </c>
      <c r="D11" s="608">
        <v>42893</v>
      </c>
      <c r="E11" s="608">
        <f t="shared" si="0"/>
        <v>17157.2</v>
      </c>
      <c r="F11" s="608">
        <f t="shared" si="2"/>
        <v>456306.2</v>
      </c>
      <c r="G11" s="609">
        <f t="shared" si="1"/>
        <v>8191000</v>
      </c>
    </row>
    <row r="12" spans="1:7" x14ac:dyDescent="0.25">
      <c r="A12" s="610">
        <v>16000</v>
      </c>
      <c r="B12" s="611" t="s">
        <v>121</v>
      </c>
      <c r="C12" s="607">
        <v>0</v>
      </c>
      <c r="D12" s="608">
        <v>0</v>
      </c>
      <c r="E12" s="608">
        <f t="shared" si="0"/>
        <v>0</v>
      </c>
      <c r="F12" s="608">
        <f t="shared" si="2"/>
        <v>0</v>
      </c>
      <c r="G12" s="609">
        <f t="shared" si="1"/>
        <v>0</v>
      </c>
    </row>
    <row r="13" spans="1:7" x14ac:dyDescent="0.25">
      <c r="A13" s="610">
        <v>17000</v>
      </c>
      <c r="B13" s="611" t="s">
        <v>122</v>
      </c>
      <c r="C13" s="607">
        <v>10940</v>
      </c>
      <c r="D13" s="608">
        <v>33</v>
      </c>
      <c r="E13" s="608">
        <f t="shared" si="0"/>
        <v>13.200000000000001</v>
      </c>
      <c r="F13" s="608">
        <f t="shared" si="2"/>
        <v>10953.2</v>
      </c>
      <c r="G13" s="609">
        <f t="shared" si="1"/>
        <v>197000</v>
      </c>
    </row>
    <row r="14" spans="1:7" x14ac:dyDescent="0.25">
      <c r="A14" s="610">
        <v>18000</v>
      </c>
      <c r="B14" s="611" t="s">
        <v>123</v>
      </c>
      <c r="C14" s="607">
        <v>16939</v>
      </c>
      <c r="D14" s="608">
        <v>0</v>
      </c>
      <c r="E14" s="608">
        <f t="shared" si="0"/>
        <v>0</v>
      </c>
      <c r="F14" s="608">
        <f t="shared" si="2"/>
        <v>16939</v>
      </c>
      <c r="G14" s="609">
        <f t="shared" si="1"/>
        <v>304000</v>
      </c>
    </row>
    <row r="15" spans="1:7" x14ac:dyDescent="0.25">
      <c r="A15" s="610">
        <v>19000</v>
      </c>
      <c r="B15" s="611" t="s">
        <v>124</v>
      </c>
      <c r="C15" s="607">
        <v>161495</v>
      </c>
      <c r="D15" s="608">
        <v>10932</v>
      </c>
      <c r="E15" s="608">
        <f t="shared" si="0"/>
        <v>4372.8</v>
      </c>
      <c r="F15" s="608">
        <f t="shared" si="2"/>
        <v>165867.79999999999</v>
      </c>
      <c r="G15" s="609">
        <f t="shared" si="1"/>
        <v>2977000</v>
      </c>
    </row>
    <row r="16" spans="1:7" x14ac:dyDescent="0.25">
      <c r="A16" s="610">
        <v>21000</v>
      </c>
      <c r="B16" s="611" t="s">
        <v>125</v>
      </c>
      <c r="C16" s="607">
        <v>936573</v>
      </c>
      <c r="D16" s="608">
        <v>82534</v>
      </c>
      <c r="E16" s="608">
        <f t="shared" si="0"/>
        <v>33013.599999999999</v>
      </c>
      <c r="F16" s="608">
        <f t="shared" si="2"/>
        <v>969586.6</v>
      </c>
      <c r="G16" s="609">
        <f t="shared" si="1"/>
        <v>17404000</v>
      </c>
    </row>
    <row r="17" spans="1:7" x14ac:dyDescent="0.25">
      <c r="A17" s="610">
        <v>22000</v>
      </c>
      <c r="B17" s="611" t="s">
        <v>126</v>
      </c>
      <c r="C17" s="607">
        <v>56303</v>
      </c>
      <c r="D17" s="608">
        <v>5382</v>
      </c>
      <c r="E17" s="608">
        <f t="shared" si="0"/>
        <v>2152.8000000000002</v>
      </c>
      <c r="F17" s="608">
        <f t="shared" si="2"/>
        <v>58455.8</v>
      </c>
      <c r="G17" s="609">
        <f t="shared" si="1"/>
        <v>1049000</v>
      </c>
    </row>
    <row r="18" spans="1:7" x14ac:dyDescent="0.25">
      <c r="A18" s="610">
        <v>23000</v>
      </c>
      <c r="B18" s="611" t="s">
        <v>127</v>
      </c>
      <c r="C18" s="607">
        <v>353771</v>
      </c>
      <c r="D18" s="608">
        <v>35518</v>
      </c>
      <c r="E18" s="608">
        <f t="shared" si="0"/>
        <v>14207.2</v>
      </c>
      <c r="F18" s="608">
        <f t="shared" si="2"/>
        <v>367978.2</v>
      </c>
      <c r="G18" s="609">
        <f t="shared" si="1"/>
        <v>6605000</v>
      </c>
    </row>
    <row r="19" spans="1:7" x14ac:dyDescent="0.25">
      <c r="A19" s="610">
        <v>24000</v>
      </c>
      <c r="B19" s="611" t="s">
        <v>128</v>
      </c>
      <c r="C19" s="607">
        <v>128917</v>
      </c>
      <c r="D19" s="608">
        <v>19714</v>
      </c>
      <c r="E19" s="608">
        <f t="shared" si="0"/>
        <v>7885.6</v>
      </c>
      <c r="F19" s="608">
        <f t="shared" si="2"/>
        <v>136802.6</v>
      </c>
      <c r="G19" s="609">
        <f t="shared" si="1"/>
        <v>2456000</v>
      </c>
    </row>
    <row r="20" spans="1:7" x14ac:dyDescent="0.25">
      <c r="A20" s="610">
        <v>25000</v>
      </c>
      <c r="B20" s="611" t="s">
        <v>129</v>
      </c>
      <c r="C20" s="607">
        <v>148659</v>
      </c>
      <c r="D20" s="608">
        <v>11031</v>
      </c>
      <c r="E20" s="608">
        <f t="shared" si="0"/>
        <v>4412.4000000000005</v>
      </c>
      <c r="F20" s="608">
        <f t="shared" si="2"/>
        <v>153071.4</v>
      </c>
      <c r="G20" s="609">
        <f t="shared" si="1"/>
        <v>2748000</v>
      </c>
    </row>
    <row r="21" spans="1:7" x14ac:dyDescent="0.25">
      <c r="A21" s="610">
        <v>26000</v>
      </c>
      <c r="B21" s="611" t="s">
        <v>130</v>
      </c>
      <c r="C21" s="607">
        <v>736653</v>
      </c>
      <c r="D21" s="608">
        <v>73496</v>
      </c>
      <c r="E21" s="608">
        <f t="shared" si="0"/>
        <v>29398.400000000001</v>
      </c>
      <c r="F21" s="608">
        <f t="shared" si="2"/>
        <v>766051.4</v>
      </c>
      <c r="G21" s="609">
        <f t="shared" si="1"/>
        <v>13751000</v>
      </c>
    </row>
    <row r="22" spans="1:7" x14ac:dyDescent="0.25">
      <c r="A22" s="610">
        <v>27000</v>
      </c>
      <c r="B22" s="611" t="s">
        <v>131</v>
      </c>
      <c r="C22" s="607">
        <v>178288</v>
      </c>
      <c r="D22" s="608">
        <v>66696</v>
      </c>
      <c r="E22" s="608">
        <f t="shared" si="0"/>
        <v>26678.400000000001</v>
      </c>
      <c r="F22" s="608">
        <f t="shared" si="2"/>
        <v>204966.39999999999</v>
      </c>
      <c r="G22" s="609">
        <f t="shared" si="1"/>
        <v>3679000</v>
      </c>
    </row>
    <row r="23" spans="1:7" x14ac:dyDescent="0.25">
      <c r="A23" s="610">
        <v>28000</v>
      </c>
      <c r="B23" s="611" t="s">
        <v>132</v>
      </c>
      <c r="C23" s="607">
        <v>163338</v>
      </c>
      <c r="D23" s="608">
        <v>12466</v>
      </c>
      <c r="E23" s="608">
        <f t="shared" si="0"/>
        <v>4986.4000000000005</v>
      </c>
      <c r="F23" s="608">
        <f t="shared" si="2"/>
        <v>168324.4</v>
      </c>
      <c r="G23" s="609">
        <f t="shared" si="1"/>
        <v>3021000</v>
      </c>
    </row>
    <row r="24" spans="1:7" x14ac:dyDescent="0.25">
      <c r="A24" s="610">
        <v>31000</v>
      </c>
      <c r="B24" s="611" t="s">
        <v>133</v>
      </c>
      <c r="C24" s="607">
        <v>249412</v>
      </c>
      <c r="D24" s="608">
        <v>2918</v>
      </c>
      <c r="E24" s="608">
        <f t="shared" si="0"/>
        <v>1167.2</v>
      </c>
      <c r="F24" s="608">
        <f t="shared" si="2"/>
        <v>250579.20000000001</v>
      </c>
      <c r="G24" s="609">
        <f t="shared" si="1"/>
        <v>4498000</v>
      </c>
    </row>
    <row r="25" spans="1:7" x14ac:dyDescent="0.25">
      <c r="A25" s="610">
        <v>41000</v>
      </c>
      <c r="B25" s="611" t="s">
        <v>134</v>
      </c>
      <c r="C25" s="607">
        <v>230710</v>
      </c>
      <c r="D25" s="608">
        <v>1367</v>
      </c>
      <c r="E25" s="608">
        <f t="shared" si="0"/>
        <v>546.80000000000007</v>
      </c>
      <c r="F25" s="608">
        <f>C25+E25</f>
        <v>231256.8</v>
      </c>
      <c r="G25" s="609">
        <f t="shared" si="1"/>
        <v>4151000</v>
      </c>
    </row>
    <row r="26" spans="1:7" x14ac:dyDescent="0.25">
      <c r="A26" s="610">
        <v>43000</v>
      </c>
      <c r="B26" s="611" t="s">
        <v>135</v>
      </c>
      <c r="C26" s="607">
        <v>288671</v>
      </c>
      <c r="D26" s="608">
        <v>33749</v>
      </c>
      <c r="E26" s="608">
        <f t="shared" si="0"/>
        <v>13499.6</v>
      </c>
      <c r="F26" s="608">
        <f t="shared" si="2"/>
        <v>302170.59999999998</v>
      </c>
      <c r="G26" s="609">
        <f t="shared" si="1"/>
        <v>5424000</v>
      </c>
    </row>
    <row r="27" spans="1:7" x14ac:dyDescent="0.25">
      <c r="A27" s="610">
        <v>51000</v>
      </c>
      <c r="B27" s="611" t="s">
        <v>136</v>
      </c>
      <c r="C27" s="607">
        <v>0</v>
      </c>
      <c r="D27" s="608">
        <v>0</v>
      </c>
      <c r="E27" s="608">
        <f t="shared" si="0"/>
        <v>0</v>
      </c>
      <c r="F27" s="608">
        <f t="shared" si="2"/>
        <v>0</v>
      </c>
      <c r="G27" s="609">
        <f t="shared" si="1"/>
        <v>0</v>
      </c>
    </row>
    <row r="28" spans="1:7" x14ac:dyDescent="0.25">
      <c r="A28" s="610">
        <v>52000</v>
      </c>
      <c r="B28" s="611" t="s">
        <v>137</v>
      </c>
      <c r="C28" s="607">
        <v>9791</v>
      </c>
      <c r="D28" s="608">
        <v>0</v>
      </c>
      <c r="E28" s="608">
        <f t="shared" si="0"/>
        <v>0</v>
      </c>
      <c r="F28" s="608">
        <f t="shared" si="2"/>
        <v>9791</v>
      </c>
      <c r="G28" s="609">
        <f t="shared" si="1"/>
        <v>176000</v>
      </c>
    </row>
    <row r="29" spans="1:7" x14ac:dyDescent="0.25">
      <c r="A29" s="610">
        <v>53000</v>
      </c>
      <c r="B29" s="611" t="s">
        <v>138</v>
      </c>
      <c r="C29" s="607">
        <v>0</v>
      </c>
      <c r="D29" s="608">
        <v>0</v>
      </c>
      <c r="E29" s="608">
        <f t="shared" si="0"/>
        <v>0</v>
      </c>
      <c r="F29" s="608">
        <f t="shared" si="2"/>
        <v>0</v>
      </c>
      <c r="G29" s="609">
        <f t="shared" si="1"/>
        <v>0</v>
      </c>
    </row>
    <row r="30" spans="1:7" x14ac:dyDescent="0.25">
      <c r="A30" s="610">
        <v>54000</v>
      </c>
      <c r="B30" s="611" t="s">
        <v>139</v>
      </c>
      <c r="C30" s="607">
        <v>0</v>
      </c>
      <c r="D30" s="608">
        <v>0</v>
      </c>
      <c r="E30" s="608">
        <f t="shared" si="0"/>
        <v>0</v>
      </c>
      <c r="F30" s="608">
        <f t="shared" si="2"/>
        <v>0</v>
      </c>
      <c r="G30" s="609">
        <f t="shared" si="1"/>
        <v>0</v>
      </c>
    </row>
    <row r="31" spans="1:7" x14ac:dyDescent="0.25">
      <c r="A31" s="610">
        <v>55000</v>
      </c>
      <c r="B31" s="611" t="s">
        <v>140</v>
      </c>
      <c r="C31" s="607">
        <v>22387</v>
      </c>
      <c r="D31" s="608">
        <v>0</v>
      </c>
      <c r="E31" s="608">
        <f t="shared" si="0"/>
        <v>0</v>
      </c>
      <c r="F31" s="608">
        <f t="shared" si="2"/>
        <v>22387</v>
      </c>
      <c r="G31" s="609">
        <f t="shared" si="1"/>
        <v>402000</v>
      </c>
    </row>
    <row r="32" spans="1:7" ht="15.75" thickBot="1" x14ac:dyDescent="0.3">
      <c r="A32" s="612">
        <v>56000</v>
      </c>
      <c r="B32" s="613" t="s">
        <v>141</v>
      </c>
      <c r="C32" s="614">
        <v>18521</v>
      </c>
      <c r="D32" s="615">
        <v>9343</v>
      </c>
      <c r="E32" s="615">
        <f t="shared" si="0"/>
        <v>3737.2000000000003</v>
      </c>
      <c r="F32" s="615">
        <f t="shared" si="2"/>
        <v>22258.2</v>
      </c>
      <c r="G32" s="609">
        <f t="shared" si="1"/>
        <v>400000</v>
      </c>
    </row>
    <row r="33" spans="1:7" ht="15.75" thickBot="1" x14ac:dyDescent="0.3">
      <c r="A33" s="616"/>
      <c r="B33" s="617" t="s">
        <v>142</v>
      </c>
      <c r="C33" s="618">
        <f>SUM(C7:C32)</f>
        <v>6075046</v>
      </c>
      <c r="D33" s="619">
        <f>SUM(D7:D32)</f>
        <v>593668</v>
      </c>
      <c r="E33" s="619">
        <f>SUM(E7:E32)</f>
        <v>237467.2</v>
      </c>
      <c r="F33" s="619">
        <f>SUM(F7:F32)</f>
        <v>6312513.2000000011</v>
      </c>
      <c r="G33" s="620">
        <f>SUM(G7:G32)</f>
        <v>113311000</v>
      </c>
    </row>
    <row r="34" spans="1:7" x14ac:dyDescent="0.25">
      <c r="A34" s="621"/>
      <c r="B34" s="621"/>
      <c r="C34" s="621"/>
      <c r="D34" s="621"/>
      <c r="E34" s="621"/>
      <c r="F34" s="621"/>
      <c r="G34" s="621"/>
    </row>
    <row r="35" spans="1:7" x14ac:dyDescent="0.25">
      <c r="A35" s="649" t="s">
        <v>225</v>
      </c>
      <c r="B35" s="649"/>
      <c r="C35" s="650"/>
      <c r="D35" s="651"/>
      <c r="E35" s="651"/>
      <c r="F35" s="652"/>
      <c r="G35" s="653">
        <v>17.95</v>
      </c>
    </row>
    <row r="36" spans="1:7" x14ac:dyDescent="0.25">
      <c r="A36" s="645" t="s">
        <v>226</v>
      </c>
      <c r="B36" s="645"/>
      <c r="C36" s="646"/>
      <c r="D36" s="647"/>
      <c r="E36" s="647"/>
      <c r="F36" s="648"/>
      <c r="G36" s="607">
        <f>+G33</f>
        <v>113311000</v>
      </c>
    </row>
    <row r="37" spans="1:7" x14ac:dyDescent="0.25">
      <c r="A37" s="649" t="s">
        <v>298</v>
      </c>
      <c r="B37" s="649"/>
      <c r="C37" s="650"/>
      <c r="D37" s="651"/>
      <c r="E37" s="651"/>
      <c r="F37" s="652"/>
      <c r="G37" s="655">
        <f>'1 Bilance'!O23</f>
        <v>120000000</v>
      </c>
    </row>
    <row r="38" spans="1:7" x14ac:dyDescent="0.25">
      <c r="A38" s="645" t="s">
        <v>299</v>
      </c>
      <c r="B38" s="645"/>
      <c r="C38" s="646"/>
      <c r="D38" s="647"/>
      <c r="E38" s="647"/>
      <c r="F38" s="648"/>
      <c r="G38" s="654">
        <f>G37-G36</f>
        <v>6689000</v>
      </c>
    </row>
    <row r="40" spans="1:7" x14ac:dyDescent="0.25">
      <c r="A40" s="683" t="s">
        <v>2</v>
      </c>
    </row>
  </sheetData>
  <mergeCells count="3">
    <mergeCell ref="A5:A6"/>
    <mergeCell ref="B5:B6"/>
    <mergeCell ref="G5:G6"/>
  </mergeCells>
  <hyperlinks>
    <hyperlink ref="A40" location="'0 Seznam'!A1" display="Seznam"/>
  </hyperlinks>
  <pageMargins left="0.7" right="0.7" top="0.78740157499999996" bottom="0.78740157499999996" header="0.3" footer="0.3"/>
  <pageSetup paperSize="9" orientation="landscape" r:id="rId1"/>
  <headerFooter>
    <oddHeader xml:space="preserve">&amp;LČ. j.: MSMT-2019/2019-1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46"/>
  <sheetViews>
    <sheetView topLeftCell="A19" zoomScale="85" zoomScaleNormal="85" workbookViewId="0">
      <selection sqref="A1:H1"/>
    </sheetView>
  </sheetViews>
  <sheetFormatPr defaultRowHeight="15" x14ac:dyDescent="0.25"/>
  <cols>
    <col min="1" max="1" width="9.42578125" customWidth="1"/>
    <col min="2" max="2" width="56.140625" customWidth="1"/>
    <col min="3" max="3" width="13.7109375" customWidth="1"/>
    <col min="4" max="4" width="14.140625" customWidth="1"/>
  </cols>
  <sheetData>
    <row r="1" spans="1:4" ht="27.75" x14ac:dyDescent="0.25">
      <c r="A1" s="624" t="s">
        <v>28</v>
      </c>
      <c r="B1" s="479"/>
      <c r="C1" s="479"/>
      <c r="D1" s="479"/>
    </row>
    <row r="2" spans="1:4" ht="15" customHeight="1" x14ac:dyDescent="0.25">
      <c r="A2" s="623"/>
      <c r="B2" s="479"/>
      <c r="C2" s="479"/>
      <c r="D2" s="479"/>
    </row>
    <row r="3" spans="1:4" ht="20.25" x14ac:dyDescent="0.25">
      <c r="A3" s="622" t="s">
        <v>240</v>
      </c>
      <c r="B3" s="479"/>
      <c r="C3" s="479"/>
      <c r="D3" s="479"/>
    </row>
    <row r="4" spans="1:4" x14ac:dyDescent="0.25">
      <c r="A4" s="497"/>
      <c r="B4" s="497"/>
      <c r="C4" s="497"/>
      <c r="D4" s="497"/>
    </row>
    <row r="5" spans="1:4" ht="20.25" x14ac:dyDescent="0.25">
      <c r="A5" s="622" t="s">
        <v>230</v>
      </c>
      <c r="B5" s="625"/>
      <c r="C5" s="625"/>
      <c r="D5" s="625"/>
    </row>
    <row r="6" spans="1:4" x14ac:dyDescent="0.25">
      <c r="A6" s="626"/>
      <c r="B6" s="479"/>
      <c r="C6" s="479"/>
      <c r="D6" s="479"/>
    </row>
    <row r="7" spans="1:4" x14ac:dyDescent="0.25">
      <c r="A7" s="1081" t="s">
        <v>231</v>
      </c>
      <c r="B7" s="1082"/>
      <c r="C7" s="1083"/>
      <c r="D7" s="656">
        <f>C43</f>
        <v>123079</v>
      </c>
    </row>
    <row r="8" spans="1:4" x14ac:dyDescent="0.25">
      <c r="A8" s="1081" t="s">
        <v>232</v>
      </c>
      <c r="B8" s="1082"/>
      <c r="C8" s="1083"/>
      <c r="D8" s="657">
        <v>7522</v>
      </c>
    </row>
    <row r="9" spans="1:4" x14ac:dyDescent="0.25">
      <c r="A9" s="1081" t="s">
        <v>233</v>
      </c>
      <c r="B9" s="1082"/>
      <c r="C9" s="1083"/>
      <c r="D9" s="657">
        <v>5400</v>
      </c>
    </row>
    <row r="10" spans="1:4" x14ac:dyDescent="0.25">
      <c r="A10" s="1081" t="s">
        <v>234</v>
      </c>
      <c r="B10" s="1082"/>
      <c r="C10" s="1083"/>
      <c r="D10" s="656">
        <f>D43</f>
        <v>664626600</v>
      </c>
    </row>
    <row r="11" spans="1:4" x14ac:dyDescent="0.25">
      <c r="A11" s="1081" t="s">
        <v>235</v>
      </c>
      <c r="B11" s="1082"/>
      <c r="C11" s="1083"/>
      <c r="D11" s="656">
        <f>'1 Bilance'!O27</f>
        <v>30000000</v>
      </c>
    </row>
    <row r="12" spans="1:4" x14ac:dyDescent="0.25">
      <c r="A12" s="630"/>
      <c r="B12" s="630"/>
      <c r="C12" s="630"/>
      <c r="D12" s="631"/>
    </row>
    <row r="13" spans="1:4" ht="20.25" x14ac:dyDescent="0.25">
      <c r="A13" s="622" t="s">
        <v>229</v>
      </c>
      <c r="B13" s="630"/>
      <c r="C13" s="630"/>
      <c r="D13" s="632"/>
    </row>
    <row r="14" spans="1:4" ht="15" customHeight="1" thickBot="1" x14ac:dyDescent="0.3">
      <c r="A14" s="479"/>
      <c r="B14" s="479"/>
      <c r="C14" s="479"/>
      <c r="D14" s="633" t="s">
        <v>33</v>
      </c>
    </row>
    <row r="15" spans="1:4" x14ac:dyDescent="0.25">
      <c r="A15" s="1084" t="s">
        <v>114</v>
      </c>
      <c r="B15" s="1086" t="s">
        <v>236</v>
      </c>
      <c r="C15" s="1086" t="s">
        <v>237</v>
      </c>
      <c r="D15" s="1077" t="s">
        <v>238</v>
      </c>
    </row>
    <row r="16" spans="1:4" ht="15.75" thickBot="1" x14ac:dyDescent="0.3">
      <c r="A16" s="1085"/>
      <c r="B16" s="1087"/>
      <c r="C16" s="1087"/>
      <c r="D16" s="1078"/>
    </row>
    <row r="17" spans="1:4" x14ac:dyDescent="0.25">
      <c r="A17" s="634">
        <v>11000</v>
      </c>
      <c r="B17" s="635" t="s">
        <v>116</v>
      </c>
      <c r="C17" s="636">
        <v>19248</v>
      </c>
      <c r="D17" s="627">
        <f>+C17*$D$9</f>
        <v>103939200</v>
      </c>
    </row>
    <row r="18" spans="1:4" x14ac:dyDescent="0.25">
      <c r="A18" s="637">
        <v>12000</v>
      </c>
      <c r="B18" s="638" t="s">
        <v>117</v>
      </c>
      <c r="C18" s="639">
        <v>3796</v>
      </c>
      <c r="D18" s="628">
        <f t="shared" ref="D18:D42" si="0">+C18*$D$9</f>
        <v>20498400</v>
      </c>
    </row>
    <row r="19" spans="1:4" x14ac:dyDescent="0.25">
      <c r="A19" s="637">
        <v>13000</v>
      </c>
      <c r="B19" s="638" t="s">
        <v>118</v>
      </c>
      <c r="C19" s="639">
        <v>2603</v>
      </c>
      <c r="D19" s="628">
        <f t="shared" si="0"/>
        <v>14056200</v>
      </c>
    </row>
    <row r="20" spans="1:4" x14ac:dyDescent="0.25">
      <c r="A20" s="637">
        <v>14000</v>
      </c>
      <c r="B20" s="638" t="s">
        <v>119</v>
      </c>
      <c r="C20" s="639">
        <v>15254</v>
      </c>
      <c r="D20" s="628">
        <f t="shared" si="0"/>
        <v>82371600</v>
      </c>
    </row>
    <row r="21" spans="1:4" x14ac:dyDescent="0.25">
      <c r="A21" s="637">
        <v>15000</v>
      </c>
      <c r="B21" s="638" t="s">
        <v>120</v>
      </c>
      <c r="C21" s="639">
        <v>9318</v>
      </c>
      <c r="D21" s="628">
        <f t="shared" si="0"/>
        <v>50317200</v>
      </c>
    </row>
    <row r="22" spans="1:4" x14ac:dyDescent="0.25">
      <c r="A22" s="637">
        <v>16000</v>
      </c>
      <c r="B22" s="638" t="s">
        <v>121</v>
      </c>
      <c r="C22" s="639">
        <v>1815</v>
      </c>
      <c r="D22" s="628">
        <f t="shared" si="0"/>
        <v>9801000</v>
      </c>
    </row>
    <row r="23" spans="1:4" x14ac:dyDescent="0.25">
      <c r="A23" s="637">
        <v>17000</v>
      </c>
      <c r="B23" s="638" t="s">
        <v>122</v>
      </c>
      <c r="C23" s="639">
        <v>3244</v>
      </c>
      <c r="D23" s="628">
        <f t="shared" si="0"/>
        <v>17517600</v>
      </c>
    </row>
    <row r="24" spans="1:4" x14ac:dyDescent="0.25">
      <c r="A24" s="637">
        <v>18000</v>
      </c>
      <c r="B24" s="638" t="s">
        <v>123</v>
      </c>
      <c r="C24" s="639">
        <v>2455</v>
      </c>
      <c r="D24" s="628">
        <f t="shared" si="0"/>
        <v>13257000</v>
      </c>
    </row>
    <row r="25" spans="1:4" x14ac:dyDescent="0.25">
      <c r="A25" s="637">
        <v>19000</v>
      </c>
      <c r="B25" s="638" t="s">
        <v>124</v>
      </c>
      <c r="C25" s="639">
        <v>841</v>
      </c>
      <c r="D25" s="628">
        <f t="shared" si="0"/>
        <v>4541400</v>
      </c>
    </row>
    <row r="26" spans="1:4" x14ac:dyDescent="0.25">
      <c r="A26" s="637">
        <v>21000</v>
      </c>
      <c r="B26" s="638" t="s">
        <v>125</v>
      </c>
      <c r="C26" s="639">
        <v>9666</v>
      </c>
      <c r="D26" s="628">
        <f t="shared" si="0"/>
        <v>52196400</v>
      </c>
    </row>
    <row r="27" spans="1:4" x14ac:dyDescent="0.25">
      <c r="A27" s="637">
        <v>22000</v>
      </c>
      <c r="B27" s="638" t="s">
        <v>126</v>
      </c>
      <c r="C27" s="639">
        <v>2433</v>
      </c>
      <c r="D27" s="628">
        <f t="shared" si="0"/>
        <v>13138200</v>
      </c>
    </row>
    <row r="28" spans="1:4" x14ac:dyDescent="0.25">
      <c r="A28" s="637">
        <v>23000</v>
      </c>
      <c r="B28" s="638" t="s">
        <v>127</v>
      </c>
      <c r="C28" s="639">
        <v>5388</v>
      </c>
      <c r="D28" s="628">
        <f t="shared" si="0"/>
        <v>29095200</v>
      </c>
    </row>
    <row r="29" spans="1:4" x14ac:dyDescent="0.25">
      <c r="A29" s="637">
        <v>24000</v>
      </c>
      <c r="B29" s="638" t="s">
        <v>128</v>
      </c>
      <c r="C29" s="639">
        <v>2306</v>
      </c>
      <c r="D29" s="628">
        <f t="shared" si="0"/>
        <v>12452400</v>
      </c>
    </row>
    <row r="30" spans="1:4" x14ac:dyDescent="0.25">
      <c r="A30" s="637">
        <v>25000</v>
      </c>
      <c r="B30" s="638" t="s">
        <v>129</v>
      </c>
      <c r="C30" s="639">
        <v>3419</v>
      </c>
      <c r="D30" s="628">
        <f t="shared" si="0"/>
        <v>18462600</v>
      </c>
    </row>
    <row r="31" spans="1:4" x14ac:dyDescent="0.25">
      <c r="A31" s="637">
        <v>26000</v>
      </c>
      <c r="B31" s="638" t="s">
        <v>130</v>
      </c>
      <c r="C31" s="639">
        <v>12175</v>
      </c>
      <c r="D31" s="628">
        <f t="shared" si="0"/>
        <v>65745000</v>
      </c>
    </row>
    <row r="32" spans="1:4" x14ac:dyDescent="0.25">
      <c r="A32" s="637">
        <v>27000</v>
      </c>
      <c r="B32" s="638" t="s">
        <v>131</v>
      </c>
      <c r="C32" s="639">
        <v>4688</v>
      </c>
      <c r="D32" s="628">
        <f t="shared" si="0"/>
        <v>25315200</v>
      </c>
    </row>
    <row r="33" spans="1:4" x14ac:dyDescent="0.25">
      <c r="A33" s="637">
        <v>28000</v>
      </c>
      <c r="B33" s="638" t="s">
        <v>132</v>
      </c>
      <c r="C33" s="639">
        <v>3260</v>
      </c>
      <c r="D33" s="628">
        <f t="shared" si="0"/>
        <v>17604000</v>
      </c>
    </row>
    <row r="34" spans="1:4" x14ac:dyDescent="0.25">
      <c r="A34" s="637">
        <v>31000</v>
      </c>
      <c r="B34" s="638" t="s">
        <v>133</v>
      </c>
      <c r="C34" s="639">
        <v>6241</v>
      </c>
      <c r="D34" s="628">
        <f t="shared" si="0"/>
        <v>33701400</v>
      </c>
    </row>
    <row r="35" spans="1:4" x14ac:dyDescent="0.25">
      <c r="A35" s="637">
        <v>41000</v>
      </c>
      <c r="B35" s="638" t="s">
        <v>134</v>
      </c>
      <c r="C35" s="639">
        <v>7242</v>
      </c>
      <c r="D35" s="628">
        <f t="shared" si="0"/>
        <v>39106800</v>
      </c>
    </row>
    <row r="36" spans="1:4" x14ac:dyDescent="0.25">
      <c r="A36" s="637">
        <v>43000</v>
      </c>
      <c r="B36" s="638" t="s">
        <v>135</v>
      </c>
      <c r="C36" s="639">
        <v>4776</v>
      </c>
      <c r="D36" s="628">
        <f t="shared" si="0"/>
        <v>25790400</v>
      </c>
    </row>
    <row r="37" spans="1:4" x14ac:dyDescent="0.25">
      <c r="A37" s="637">
        <v>51000</v>
      </c>
      <c r="B37" s="638" t="s">
        <v>136</v>
      </c>
      <c r="C37" s="639">
        <v>521</v>
      </c>
      <c r="D37" s="628">
        <f t="shared" si="0"/>
        <v>2813400</v>
      </c>
    </row>
    <row r="38" spans="1:4" x14ac:dyDescent="0.25">
      <c r="A38" s="637">
        <v>52000</v>
      </c>
      <c r="B38" s="638" t="s">
        <v>137</v>
      </c>
      <c r="C38" s="639">
        <v>155</v>
      </c>
      <c r="D38" s="628">
        <f t="shared" si="0"/>
        <v>837000</v>
      </c>
    </row>
    <row r="39" spans="1:4" x14ac:dyDescent="0.25">
      <c r="A39" s="637">
        <v>53000</v>
      </c>
      <c r="B39" s="638" t="s">
        <v>138</v>
      </c>
      <c r="C39" s="639">
        <v>278</v>
      </c>
      <c r="D39" s="628">
        <f t="shared" si="0"/>
        <v>1501200</v>
      </c>
    </row>
    <row r="40" spans="1:4" x14ac:dyDescent="0.25">
      <c r="A40" s="637">
        <v>54000</v>
      </c>
      <c r="B40" s="638" t="s">
        <v>139</v>
      </c>
      <c r="C40" s="639">
        <v>435</v>
      </c>
      <c r="D40" s="628">
        <f t="shared" si="0"/>
        <v>2349000</v>
      </c>
    </row>
    <row r="41" spans="1:4" x14ac:dyDescent="0.25">
      <c r="A41" s="637">
        <v>55000</v>
      </c>
      <c r="B41" s="638" t="s">
        <v>140</v>
      </c>
      <c r="C41" s="639">
        <v>665</v>
      </c>
      <c r="D41" s="628">
        <f t="shared" si="0"/>
        <v>3591000</v>
      </c>
    </row>
    <row r="42" spans="1:4" ht="15.75" thickBot="1" x14ac:dyDescent="0.3">
      <c r="A42" s="640">
        <v>56000</v>
      </c>
      <c r="B42" s="641" t="s">
        <v>141</v>
      </c>
      <c r="C42" s="642">
        <v>857</v>
      </c>
      <c r="D42" s="629">
        <f t="shared" si="0"/>
        <v>4627800</v>
      </c>
    </row>
    <row r="43" spans="1:4" ht="15.75" thickBot="1" x14ac:dyDescent="0.3">
      <c r="A43" s="1079" t="s">
        <v>239</v>
      </c>
      <c r="B43" s="1080"/>
      <c r="C43" s="643">
        <f>SUM(C17:C42)</f>
        <v>123079</v>
      </c>
      <c r="D43" s="644">
        <f>SUM(D17:D42)</f>
        <v>664626600</v>
      </c>
    </row>
    <row r="44" spans="1:4" x14ac:dyDescent="0.25">
      <c r="A44" s="479" t="s">
        <v>241</v>
      </c>
      <c r="B44" s="476"/>
      <c r="C44" s="476"/>
      <c r="D44" s="476"/>
    </row>
    <row r="46" spans="1:4" x14ac:dyDescent="0.25">
      <c r="A46" s="683" t="s">
        <v>2</v>
      </c>
    </row>
  </sheetData>
  <mergeCells count="10">
    <mergeCell ref="D15:D16"/>
    <mergeCell ref="A43:B43"/>
    <mergeCell ref="A7:C7"/>
    <mergeCell ref="A8:C8"/>
    <mergeCell ref="A9:C9"/>
    <mergeCell ref="A10:C10"/>
    <mergeCell ref="A11:C11"/>
    <mergeCell ref="A15:A16"/>
    <mergeCell ref="B15:B16"/>
    <mergeCell ref="C15:C16"/>
  </mergeCells>
  <hyperlinks>
    <hyperlink ref="A46" location="'0 Seznam'!A1" display="Seznam"/>
  </hyperlinks>
  <pageMargins left="0.7" right="0.7" top="0.78740157499999996" bottom="0.78740157499999996" header="0.3" footer="0.3"/>
  <pageSetup paperSize="9" orientation="portrait" r:id="rId1"/>
  <headerFooter>
    <oddHeader xml:space="preserve">&amp;LČ. j.: MSMT-2019/2019-1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5"/>
  <sheetViews>
    <sheetView zoomScale="85" zoomScaleNormal="85" workbookViewId="0">
      <selection sqref="A1:H1"/>
    </sheetView>
  </sheetViews>
  <sheetFormatPr defaultRowHeight="15" x14ac:dyDescent="0.25"/>
  <cols>
    <col min="1" max="1" width="11.140625" customWidth="1"/>
    <col min="2" max="2" width="60.7109375" customWidth="1"/>
    <col min="3" max="3" width="17.28515625" customWidth="1"/>
  </cols>
  <sheetData>
    <row r="1" spans="1:3" ht="27.75" x14ac:dyDescent="0.25">
      <c r="A1" s="658" t="s">
        <v>24</v>
      </c>
      <c r="B1" s="659"/>
      <c r="C1" s="659"/>
    </row>
    <row r="2" spans="1:3" x14ac:dyDescent="0.25">
      <c r="A2" s="660"/>
      <c r="B2" s="659"/>
      <c r="C2" s="659"/>
    </row>
    <row r="3" spans="1:3" ht="20.25" x14ac:dyDescent="0.25">
      <c r="A3" s="661" t="s">
        <v>244</v>
      </c>
      <c r="B3" s="659"/>
      <c r="C3" s="662"/>
    </row>
    <row r="4" spans="1:3" x14ac:dyDescent="0.25">
      <c r="A4" s="663"/>
      <c r="B4" s="659"/>
      <c r="C4" s="662"/>
    </row>
    <row r="5" spans="1:3" ht="15.75" thickBot="1" x14ac:dyDescent="0.3">
      <c r="A5" s="664"/>
      <c r="B5" s="664"/>
      <c r="C5" s="665" t="s">
        <v>33</v>
      </c>
    </row>
    <row r="6" spans="1:3" ht="30.75" thickBot="1" x14ac:dyDescent="0.3">
      <c r="A6" s="666" t="s">
        <v>114</v>
      </c>
      <c r="B6" s="667" t="s">
        <v>115</v>
      </c>
      <c r="C6" s="668" t="s">
        <v>243</v>
      </c>
    </row>
    <row r="7" spans="1:3" x14ac:dyDescent="0.25">
      <c r="A7" s="669">
        <v>11000</v>
      </c>
      <c r="B7" s="670" t="s">
        <v>116</v>
      </c>
      <c r="C7" s="671">
        <v>192786913.49339017</v>
      </c>
    </row>
    <row r="8" spans="1:3" x14ac:dyDescent="0.25">
      <c r="A8" s="672">
        <v>12000</v>
      </c>
      <c r="B8" s="670" t="s">
        <v>117</v>
      </c>
      <c r="C8" s="671">
        <v>32130324.133257754</v>
      </c>
    </row>
    <row r="9" spans="1:3" x14ac:dyDescent="0.25">
      <c r="A9" s="672">
        <v>13000</v>
      </c>
      <c r="B9" s="670" t="s">
        <v>118</v>
      </c>
      <c r="C9" s="671">
        <v>25486502.49062185</v>
      </c>
    </row>
    <row r="10" spans="1:3" x14ac:dyDescent="0.25">
      <c r="A10" s="672">
        <v>14000</v>
      </c>
      <c r="B10" s="670" t="s">
        <v>119</v>
      </c>
      <c r="C10" s="671">
        <v>115628859.53559446</v>
      </c>
    </row>
    <row r="11" spans="1:3" x14ac:dyDescent="0.25">
      <c r="A11" s="672">
        <v>15000</v>
      </c>
      <c r="B11" s="670" t="s">
        <v>120</v>
      </c>
      <c r="C11" s="671">
        <v>69979523.235631198</v>
      </c>
    </row>
    <row r="12" spans="1:3" x14ac:dyDescent="0.25">
      <c r="A12" s="672">
        <v>16000</v>
      </c>
      <c r="B12" s="670" t="s">
        <v>121</v>
      </c>
      <c r="C12" s="671">
        <v>13808088.69307095</v>
      </c>
    </row>
    <row r="13" spans="1:3" x14ac:dyDescent="0.25">
      <c r="A13" s="672">
        <v>17000</v>
      </c>
      <c r="B13" s="670" t="s">
        <v>122</v>
      </c>
      <c r="C13" s="671">
        <v>28868319.66339099</v>
      </c>
    </row>
    <row r="14" spans="1:3" x14ac:dyDescent="0.25">
      <c r="A14" s="672">
        <v>18000</v>
      </c>
      <c r="B14" s="670" t="s">
        <v>123</v>
      </c>
      <c r="C14" s="671">
        <v>21276852.072921127</v>
      </c>
    </row>
    <row r="15" spans="1:3" x14ac:dyDescent="0.25">
      <c r="A15" s="672">
        <v>19000</v>
      </c>
      <c r="B15" s="670" t="s">
        <v>124</v>
      </c>
      <c r="C15" s="671">
        <v>14193730.240128862</v>
      </c>
    </row>
    <row r="16" spans="1:3" x14ac:dyDescent="0.25">
      <c r="A16" s="672">
        <v>21000</v>
      </c>
      <c r="B16" s="670" t="s">
        <v>125</v>
      </c>
      <c r="C16" s="673">
        <v>77376495.4791805</v>
      </c>
    </row>
    <row r="17" spans="1:3" x14ac:dyDescent="0.25">
      <c r="A17" s="672">
        <v>22000</v>
      </c>
      <c r="B17" s="670" t="s">
        <v>126</v>
      </c>
      <c r="C17" s="671">
        <v>22642026.900199607</v>
      </c>
    </row>
    <row r="18" spans="1:3" x14ac:dyDescent="0.25">
      <c r="A18" s="672">
        <v>23000</v>
      </c>
      <c r="B18" s="670" t="s">
        <v>127</v>
      </c>
      <c r="C18" s="671">
        <v>38173562.895330936</v>
      </c>
    </row>
    <row r="19" spans="1:3" x14ac:dyDescent="0.25">
      <c r="A19" s="672">
        <v>24000</v>
      </c>
      <c r="B19" s="670" t="s">
        <v>128</v>
      </c>
      <c r="C19" s="671">
        <v>23022372.629596937</v>
      </c>
    </row>
    <row r="20" spans="1:3" x14ac:dyDescent="0.25">
      <c r="A20" s="672">
        <v>25000</v>
      </c>
      <c r="B20" s="670" t="s">
        <v>129</v>
      </c>
      <c r="C20" s="671">
        <v>27345721.99554982</v>
      </c>
    </row>
    <row r="21" spans="1:3" x14ac:dyDescent="0.25">
      <c r="A21" s="672">
        <v>26000</v>
      </c>
      <c r="B21" s="670" t="s">
        <v>130</v>
      </c>
      <c r="C21" s="671">
        <v>68123967.604023442</v>
      </c>
    </row>
    <row r="22" spans="1:3" x14ac:dyDescent="0.25">
      <c r="A22" s="672">
        <v>27000</v>
      </c>
      <c r="B22" s="670" t="s">
        <v>131</v>
      </c>
      <c r="C22" s="671">
        <v>46817893.046134256</v>
      </c>
    </row>
    <row r="23" spans="1:3" x14ac:dyDescent="0.25">
      <c r="A23" s="672">
        <v>28000</v>
      </c>
      <c r="B23" s="670" t="s">
        <v>132</v>
      </c>
      <c r="C23" s="671">
        <v>29943013.923991617</v>
      </c>
    </row>
    <row r="24" spans="1:3" x14ac:dyDescent="0.25">
      <c r="A24" s="672">
        <v>31000</v>
      </c>
      <c r="B24" s="670" t="s">
        <v>133</v>
      </c>
      <c r="C24" s="671">
        <v>47237158.283234157</v>
      </c>
    </row>
    <row r="25" spans="1:3" x14ac:dyDescent="0.25">
      <c r="A25" s="672">
        <v>41000</v>
      </c>
      <c r="B25" s="670" t="s">
        <v>134</v>
      </c>
      <c r="C25" s="671">
        <v>63438905.707138121</v>
      </c>
    </row>
    <row r="26" spans="1:3" x14ac:dyDescent="0.25">
      <c r="A26" s="672">
        <v>43000</v>
      </c>
      <c r="B26" s="670" t="s">
        <v>135</v>
      </c>
      <c r="C26" s="671">
        <v>33366779.935381144</v>
      </c>
    </row>
    <row r="27" spans="1:3" x14ac:dyDescent="0.25">
      <c r="A27" s="672">
        <v>51000</v>
      </c>
      <c r="B27" s="674" t="s">
        <v>136</v>
      </c>
      <c r="C27" s="673">
        <v>13118687.914681965</v>
      </c>
    </row>
    <row r="28" spans="1:3" x14ac:dyDescent="0.25">
      <c r="A28" s="672">
        <v>52000</v>
      </c>
      <c r="B28" s="674" t="s">
        <v>137</v>
      </c>
      <c r="C28" s="673">
        <v>3087530.1253157565</v>
      </c>
    </row>
    <row r="29" spans="1:3" x14ac:dyDescent="0.25">
      <c r="A29" s="672">
        <v>53000</v>
      </c>
      <c r="B29" s="674" t="s">
        <v>138</v>
      </c>
      <c r="C29" s="673">
        <v>4687352.4778484572</v>
      </c>
    </row>
    <row r="30" spans="1:3" x14ac:dyDescent="0.25">
      <c r="A30" s="672">
        <v>54000</v>
      </c>
      <c r="B30" s="674" t="s">
        <v>139</v>
      </c>
      <c r="C30" s="673">
        <v>7494471.4850818012</v>
      </c>
    </row>
    <row r="31" spans="1:3" x14ac:dyDescent="0.25">
      <c r="A31" s="672">
        <v>55000</v>
      </c>
      <c r="B31" s="674" t="s">
        <v>140</v>
      </c>
      <c r="C31" s="673">
        <v>6207228.5125777042</v>
      </c>
    </row>
    <row r="32" spans="1:3" ht="15.75" thickBot="1" x14ac:dyDescent="0.3">
      <c r="A32" s="675">
        <v>56000</v>
      </c>
      <c r="B32" s="676" t="s">
        <v>141</v>
      </c>
      <c r="C32" s="677">
        <v>8757717.5267264992</v>
      </c>
    </row>
    <row r="33" spans="1:3" ht="15.75" thickBot="1" x14ac:dyDescent="0.3">
      <c r="A33" s="678"/>
      <c r="B33" s="679" t="s">
        <v>142</v>
      </c>
      <c r="C33" s="680">
        <v>1035000000</v>
      </c>
    </row>
    <row r="35" spans="1:3" x14ac:dyDescent="0.25">
      <c r="A35" s="683" t="s">
        <v>2</v>
      </c>
    </row>
  </sheetData>
  <hyperlinks>
    <hyperlink ref="A35" location="'0 Seznam'!A1" display="Seznam"/>
  </hyperlinks>
  <pageMargins left="0.7" right="0.7" top="0.78740157499999996" bottom="0.78740157499999996" header="0.3" footer="0.3"/>
  <pageSetup paperSize="9" orientation="portrait" r:id="rId1"/>
  <headerFooter>
    <oddHeader xml:space="preserve">&amp;LČ. j.: MSMT-2019/2019-1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23"/>
  <sheetViews>
    <sheetView topLeftCell="A88" zoomScale="85" zoomScaleNormal="85" workbookViewId="0">
      <selection activeCell="A123" sqref="A123"/>
    </sheetView>
  </sheetViews>
  <sheetFormatPr defaultRowHeight="15" x14ac:dyDescent="0.25"/>
  <cols>
    <col min="2" max="2" width="55" customWidth="1"/>
    <col min="3" max="7" width="16" customWidth="1"/>
    <col min="8" max="10" width="16.140625" customWidth="1"/>
    <col min="12" max="12" width="13.5703125" customWidth="1"/>
  </cols>
  <sheetData>
    <row r="1" spans="1:12" ht="27.75" x14ac:dyDescent="0.4">
      <c r="A1" s="685" t="s">
        <v>29</v>
      </c>
    </row>
    <row r="2" spans="1:12" x14ac:dyDescent="0.25">
      <c r="A2" s="6"/>
    </row>
    <row r="3" spans="1:12" ht="20.25" x14ac:dyDescent="0.3">
      <c r="A3" s="686" t="s">
        <v>260</v>
      </c>
    </row>
    <row r="4" spans="1:12" ht="15.75" thickBot="1" x14ac:dyDescent="0.3">
      <c r="J4" s="700" t="s">
        <v>33</v>
      </c>
    </row>
    <row r="5" spans="1:12" x14ac:dyDescent="0.25">
      <c r="A5" s="1101" t="s">
        <v>254</v>
      </c>
      <c r="B5" s="1102"/>
      <c r="C5" s="1091" t="s">
        <v>283</v>
      </c>
      <c r="D5" s="1103"/>
      <c r="E5" s="1091" t="s">
        <v>255</v>
      </c>
      <c r="F5" s="1092"/>
      <c r="G5" s="1104" t="s">
        <v>256</v>
      </c>
      <c r="H5" s="1103"/>
      <c r="I5" s="1095" t="s">
        <v>258</v>
      </c>
      <c r="J5" s="1096"/>
    </row>
    <row r="6" spans="1:12" ht="15.75" thickBot="1" x14ac:dyDescent="0.3">
      <c r="A6" s="1099" t="s">
        <v>163</v>
      </c>
      <c r="B6" s="1100"/>
      <c r="C6" s="687"/>
      <c r="D6" s="722">
        <v>0.75</v>
      </c>
      <c r="E6" s="723"/>
      <c r="F6" s="724">
        <v>0.15</v>
      </c>
      <c r="G6" s="725"/>
      <c r="H6" s="722">
        <v>0.1</v>
      </c>
      <c r="I6" s="726">
        <f>D6+F6+H6</f>
        <v>1</v>
      </c>
      <c r="J6" s="727">
        <v>250000000</v>
      </c>
    </row>
    <row r="7" spans="1:12" x14ac:dyDescent="0.25">
      <c r="A7" s="688">
        <v>1100</v>
      </c>
      <c r="B7" s="689" t="s">
        <v>116</v>
      </c>
      <c r="C7" s="701"/>
      <c r="D7" s="728">
        <f>D36</f>
        <v>0.18199199999999999</v>
      </c>
      <c r="E7" s="729"/>
      <c r="F7" s="730">
        <f t="shared" ref="F7:F32" si="0">0.5*F36+0.3*F65+0.2*F94</f>
        <v>0.19744642637774598</v>
      </c>
      <c r="G7" s="731"/>
      <c r="H7" s="730">
        <f t="shared" ref="H7:H32" si="1">0.5*H36+0.3*H65+0.2*H94</f>
        <v>0.23738669910517718</v>
      </c>
      <c r="I7" s="732">
        <f>$D$6*D7+$F$6*F7+$H$6*H7</f>
        <v>0.18984963386717962</v>
      </c>
      <c r="J7" s="733">
        <f>ROUND($J$6*I7,-3)</f>
        <v>47462000</v>
      </c>
      <c r="L7" s="870"/>
    </row>
    <row r="8" spans="1:12" x14ac:dyDescent="0.25">
      <c r="A8" s="690">
        <v>1200</v>
      </c>
      <c r="B8" s="691" t="s">
        <v>117</v>
      </c>
      <c r="C8" s="702"/>
      <c r="D8" s="734">
        <f t="shared" ref="D8:D32" si="2">D37</f>
        <v>1.8952E-2</v>
      </c>
      <c r="E8" s="735"/>
      <c r="F8" s="736">
        <f t="shared" si="0"/>
        <v>1.8089079639363785E-2</v>
      </c>
      <c r="G8" s="737"/>
      <c r="H8" s="736">
        <f t="shared" si="1"/>
        <v>1.3107074549090278E-2</v>
      </c>
      <c r="I8" s="738">
        <f t="shared" ref="I8:I32" si="3">$D$6*D8+$F$6*F8+$H$6*H8</f>
        <v>1.8238069400813597E-2</v>
      </c>
      <c r="J8" s="739">
        <f>ROUND($J$6*I8-100,-3)</f>
        <v>4559000</v>
      </c>
      <c r="L8" s="870"/>
    </row>
    <row r="9" spans="1:12" x14ac:dyDescent="0.25">
      <c r="A9" s="690">
        <v>1300</v>
      </c>
      <c r="B9" s="691" t="s">
        <v>118</v>
      </c>
      <c r="C9" s="702"/>
      <c r="D9" s="734">
        <f t="shared" si="2"/>
        <v>3.5052E-2</v>
      </c>
      <c r="E9" s="735"/>
      <c r="F9" s="736">
        <f t="shared" si="0"/>
        <v>2.1155448145318625E-2</v>
      </c>
      <c r="G9" s="737"/>
      <c r="H9" s="736">
        <f t="shared" si="1"/>
        <v>1.2640928512239942E-2</v>
      </c>
      <c r="I9" s="740">
        <f t="shared" si="3"/>
        <v>3.0726410073021789E-2</v>
      </c>
      <c r="J9" s="739">
        <f t="shared" ref="J9:J32" si="4">ROUND($J$6*I9,-3)</f>
        <v>7682000</v>
      </c>
      <c r="L9" s="870"/>
    </row>
    <row r="10" spans="1:12" x14ac:dyDescent="0.25">
      <c r="A10" s="690">
        <v>1400</v>
      </c>
      <c r="B10" s="691" t="s">
        <v>119</v>
      </c>
      <c r="C10" s="702"/>
      <c r="D10" s="734">
        <f t="shared" si="2"/>
        <v>0.15090799999999999</v>
      </c>
      <c r="E10" s="735"/>
      <c r="F10" s="736">
        <f t="shared" si="0"/>
        <v>0.162517331741803</v>
      </c>
      <c r="G10" s="737"/>
      <c r="H10" s="736">
        <f t="shared" si="1"/>
        <v>0.15216281819435773</v>
      </c>
      <c r="I10" s="740">
        <f t="shared" si="3"/>
        <v>0.15277488158070621</v>
      </c>
      <c r="J10" s="739">
        <f t="shared" si="4"/>
        <v>38194000</v>
      </c>
      <c r="L10" s="870"/>
    </row>
    <row r="11" spans="1:12" x14ac:dyDescent="0.25">
      <c r="A11" s="690">
        <v>1500</v>
      </c>
      <c r="B11" s="691" t="s">
        <v>120</v>
      </c>
      <c r="C11" s="702"/>
      <c r="D11" s="734">
        <f t="shared" si="2"/>
        <v>7.4492000000000003E-2</v>
      </c>
      <c r="E11" s="735"/>
      <c r="F11" s="736">
        <f t="shared" si="0"/>
        <v>9.0246566719648535E-2</v>
      </c>
      <c r="G11" s="737"/>
      <c r="H11" s="736">
        <f t="shared" si="1"/>
        <v>4.6284983371931446E-2</v>
      </c>
      <c r="I11" s="740">
        <f t="shared" si="3"/>
        <v>7.4034483345140428E-2</v>
      </c>
      <c r="J11" s="739">
        <f t="shared" si="4"/>
        <v>18509000</v>
      </c>
      <c r="L11" s="870"/>
    </row>
    <row r="12" spans="1:12" x14ac:dyDescent="0.25">
      <c r="A12" s="690">
        <v>1600</v>
      </c>
      <c r="B12" s="691" t="s">
        <v>121</v>
      </c>
      <c r="C12" s="702"/>
      <c r="D12" s="734">
        <f t="shared" si="2"/>
        <v>9.2239999999999996E-3</v>
      </c>
      <c r="E12" s="735"/>
      <c r="F12" s="736">
        <f t="shared" si="0"/>
        <v>2.6810086760193225E-3</v>
      </c>
      <c r="G12" s="737"/>
      <c r="H12" s="736">
        <f t="shared" si="1"/>
        <v>9.6827092061106401E-3</v>
      </c>
      <c r="I12" s="740">
        <f t="shared" si="3"/>
        <v>8.2884222220139612E-3</v>
      </c>
      <c r="J12" s="739">
        <f t="shared" si="4"/>
        <v>2072000</v>
      </c>
      <c r="L12" s="870"/>
    </row>
    <row r="13" spans="1:12" x14ac:dyDescent="0.25">
      <c r="A13" s="690">
        <v>1700</v>
      </c>
      <c r="B13" s="691" t="s">
        <v>122</v>
      </c>
      <c r="C13" s="702"/>
      <c r="D13" s="734">
        <f t="shared" si="2"/>
        <v>4.2212E-2</v>
      </c>
      <c r="E13" s="735"/>
      <c r="F13" s="736">
        <f t="shared" si="0"/>
        <v>2.3698587991529466E-2</v>
      </c>
      <c r="G13" s="737"/>
      <c r="H13" s="736">
        <f t="shared" si="1"/>
        <v>1.7816408865521504E-2</v>
      </c>
      <c r="I13" s="740">
        <f t="shared" si="3"/>
        <v>3.699542908528157E-2</v>
      </c>
      <c r="J13" s="739">
        <f t="shared" si="4"/>
        <v>9249000</v>
      </c>
      <c r="L13" s="870"/>
    </row>
    <row r="14" spans="1:12" x14ac:dyDescent="0.25">
      <c r="A14" s="690">
        <v>1800</v>
      </c>
      <c r="B14" s="691" t="s">
        <v>123</v>
      </c>
      <c r="C14" s="702"/>
      <c r="D14" s="734">
        <f t="shared" si="2"/>
        <v>2.2575999999999999E-2</v>
      </c>
      <c r="E14" s="735"/>
      <c r="F14" s="736">
        <f t="shared" si="0"/>
        <v>2.6441151535052908E-2</v>
      </c>
      <c r="G14" s="737"/>
      <c r="H14" s="736">
        <f t="shared" si="1"/>
        <v>2.1614680639099368E-2</v>
      </c>
      <c r="I14" s="740">
        <f t="shared" si="3"/>
        <v>2.3059640794167873E-2</v>
      </c>
      <c r="J14" s="739">
        <f>ROUND($J$6*I14,-3)</f>
        <v>5765000</v>
      </c>
      <c r="L14" s="870"/>
    </row>
    <row r="15" spans="1:12" x14ac:dyDescent="0.25">
      <c r="A15" s="690">
        <v>1900</v>
      </c>
      <c r="B15" s="691" t="s">
        <v>124</v>
      </c>
      <c r="C15" s="702"/>
      <c r="D15" s="734">
        <f t="shared" si="2"/>
        <v>1.1896E-2</v>
      </c>
      <c r="E15" s="735"/>
      <c r="F15" s="736">
        <f t="shared" si="0"/>
        <v>9.1914531009952716E-3</v>
      </c>
      <c r="G15" s="737"/>
      <c r="H15" s="736">
        <f t="shared" si="1"/>
        <v>2.7297585335739954E-3</v>
      </c>
      <c r="I15" s="740">
        <f t="shared" si="3"/>
        <v>1.057369381850669E-2</v>
      </c>
      <c r="J15" s="739">
        <f t="shared" si="4"/>
        <v>2643000</v>
      </c>
      <c r="L15" s="870"/>
    </row>
    <row r="16" spans="1:12" x14ac:dyDescent="0.25">
      <c r="A16" s="690">
        <v>2100</v>
      </c>
      <c r="B16" s="691" t="s">
        <v>125</v>
      </c>
      <c r="C16" s="702"/>
      <c r="D16" s="734">
        <f t="shared" si="2"/>
        <v>4.2256000000000002E-2</v>
      </c>
      <c r="E16" s="735"/>
      <c r="F16" s="736">
        <f t="shared" si="0"/>
        <v>6.3724394565155121E-2</v>
      </c>
      <c r="G16" s="737"/>
      <c r="H16" s="736">
        <f t="shared" si="1"/>
        <v>9.8409815094724101E-2</v>
      </c>
      <c r="I16" s="740">
        <f t="shared" si="3"/>
        <v>5.1091640694245682E-2</v>
      </c>
      <c r="J16" s="739">
        <f t="shared" si="4"/>
        <v>12773000</v>
      </c>
      <c r="L16" s="870"/>
    </row>
    <row r="17" spans="1:12" x14ac:dyDescent="0.25">
      <c r="A17" s="690">
        <v>2200</v>
      </c>
      <c r="B17" s="691" t="s">
        <v>126</v>
      </c>
      <c r="C17" s="702"/>
      <c r="D17" s="734">
        <f t="shared" si="2"/>
        <v>1.3795999999999999E-2</v>
      </c>
      <c r="E17" s="735"/>
      <c r="F17" s="736">
        <f t="shared" si="0"/>
        <v>1.1725969903434951E-2</v>
      </c>
      <c r="G17" s="737"/>
      <c r="H17" s="736">
        <f t="shared" si="1"/>
        <v>1.803916998117152E-2</v>
      </c>
      <c r="I17" s="740">
        <f t="shared" si="3"/>
        <v>1.3909812483632393E-2</v>
      </c>
      <c r="J17" s="739">
        <f t="shared" si="4"/>
        <v>3477000</v>
      </c>
      <c r="L17" s="870"/>
    </row>
    <row r="18" spans="1:12" x14ac:dyDescent="0.25">
      <c r="A18" s="690">
        <v>2300</v>
      </c>
      <c r="B18" s="691" t="s">
        <v>127</v>
      </c>
      <c r="C18" s="702"/>
      <c r="D18" s="734">
        <f t="shared" si="2"/>
        <v>3.5563999999999998E-2</v>
      </c>
      <c r="E18" s="735"/>
      <c r="F18" s="736">
        <f t="shared" si="0"/>
        <v>3.4053330164756229E-2</v>
      </c>
      <c r="G18" s="737"/>
      <c r="H18" s="736">
        <f t="shared" si="1"/>
        <v>2.1179534622118853E-2</v>
      </c>
      <c r="I18" s="740">
        <f t="shared" si="3"/>
        <v>3.3898952986925315E-2</v>
      </c>
      <c r="J18" s="739">
        <f t="shared" si="4"/>
        <v>8475000</v>
      </c>
      <c r="L18" s="870"/>
    </row>
    <row r="19" spans="1:12" x14ac:dyDescent="0.25">
      <c r="A19" s="690">
        <v>2400</v>
      </c>
      <c r="B19" s="691" t="s">
        <v>128</v>
      </c>
      <c r="C19" s="702"/>
      <c r="D19" s="734">
        <f t="shared" si="2"/>
        <v>2.4916000000000001E-2</v>
      </c>
      <c r="E19" s="735"/>
      <c r="F19" s="736">
        <f t="shared" si="0"/>
        <v>2.2464366313603774E-2</v>
      </c>
      <c r="G19" s="737"/>
      <c r="H19" s="736">
        <f t="shared" si="1"/>
        <v>1.7684055462404352E-2</v>
      </c>
      <c r="I19" s="740">
        <f t="shared" si="3"/>
        <v>2.3825060493281005E-2</v>
      </c>
      <c r="J19" s="739">
        <f t="shared" si="4"/>
        <v>5956000</v>
      </c>
      <c r="L19" s="870"/>
    </row>
    <row r="20" spans="1:12" x14ac:dyDescent="0.25">
      <c r="A20" s="690">
        <v>2500</v>
      </c>
      <c r="B20" s="691" t="s">
        <v>129</v>
      </c>
      <c r="C20" s="702"/>
      <c r="D20" s="734">
        <f t="shared" si="2"/>
        <v>2.4400000000000002E-2</v>
      </c>
      <c r="E20" s="735"/>
      <c r="F20" s="736">
        <f t="shared" si="0"/>
        <v>1.7583540533255275E-2</v>
      </c>
      <c r="G20" s="737"/>
      <c r="H20" s="736">
        <f t="shared" si="1"/>
        <v>1.6053702899848778E-2</v>
      </c>
      <c r="I20" s="740">
        <f t="shared" si="3"/>
        <v>2.2542901369973171E-2</v>
      </c>
      <c r="J20" s="739">
        <f>ROUND($J$6*I20,-3)</f>
        <v>5636000</v>
      </c>
      <c r="L20" s="870"/>
    </row>
    <row r="21" spans="1:12" x14ac:dyDescent="0.25">
      <c r="A21" s="690">
        <v>2600</v>
      </c>
      <c r="B21" s="691" t="s">
        <v>130</v>
      </c>
      <c r="C21" s="702"/>
      <c r="D21" s="734">
        <f t="shared" si="2"/>
        <v>9.0051999999999993E-2</v>
      </c>
      <c r="E21" s="735"/>
      <c r="F21" s="736">
        <f t="shared" si="0"/>
        <v>6.561236332180688E-2</v>
      </c>
      <c r="G21" s="737"/>
      <c r="H21" s="736">
        <f t="shared" si="1"/>
        <v>4.6835801537033234E-2</v>
      </c>
      <c r="I21" s="740">
        <f t="shared" si="3"/>
        <v>8.2064434651974341E-2</v>
      </c>
      <c r="J21" s="739">
        <f t="shared" si="4"/>
        <v>20516000</v>
      </c>
      <c r="L21" s="870"/>
    </row>
    <row r="22" spans="1:12" x14ac:dyDescent="0.25">
      <c r="A22" s="690">
        <v>2700</v>
      </c>
      <c r="B22" s="691" t="s">
        <v>131</v>
      </c>
      <c r="C22" s="702"/>
      <c r="D22" s="734">
        <f t="shared" si="2"/>
        <v>3.1548E-2</v>
      </c>
      <c r="E22" s="735"/>
      <c r="F22" s="736">
        <f t="shared" si="0"/>
        <v>2.2462699252607115E-2</v>
      </c>
      <c r="G22" s="737"/>
      <c r="H22" s="736">
        <f t="shared" si="1"/>
        <v>4.8209817658991884E-2</v>
      </c>
      <c r="I22" s="740">
        <f t="shared" si="3"/>
        <v>3.1851386653790253E-2</v>
      </c>
      <c r="J22" s="739">
        <f t="shared" si="4"/>
        <v>7963000</v>
      </c>
      <c r="L22" s="870"/>
    </row>
    <row r="23" spans="1:12" x14ac:dyDescent="0.25">
      <c r="A23" s="690">
        <v>2800</v>
      </c>
      <c r="B23" s="691" t="s">
        <v>132</v>
      </c>
      <c r="C23" s="702"/>
      <c r="D23" s="734">
        <f t="shared" si="2"/>
        <v>2.0136000000000001E-2</v>
      </c>
      <c r="E23" s="735"/>
      <c r="F23" s="736">
        <f t="shared" si="0"/>
        <v>2.2260061393593735E-2</v>
      </c>
      <c r="G23" s="737"/>
      <c r="H23" s="736">
        <f t="shared" si="1"/>
        <v>2.1342897173512516E-2</v>
      </c>
      <c r="I23" s="740">
        <f t="shared" si="3"/>
        <v>2.0575298926390314E-2</v>
      </c>
      <c r="J23" s="739">
        <f t="shared" si="4"/>
        <v>5144000</v>
      </c>
      <c r="L23" s="870"/>
    </row>
    <row r="24" spans="1:12" x14ac:dyDescent="0.25">
      <c r="A24" s="690">
        <v>3100</v>
      </c>
      <c r="B24" s="691" t="s">
        <v>133</v>
      </c>
      <c r="C24" s="702"/>
      <c r="D24" s="734">
        <f t="shared" si="2"/>
        <v>4.7356000000000002E-2</v>
      </c>
      <c r="E24" s="735"/>
      <c r="F24" s="736">
        <f t="shared" si="0"/>
        <v>8.5826453534519537E-2</v>
      </c>
      <c r="G24" s="737"/>
      <c r="H24" s="736">
        <f t="shared" si="1"/>
        <v>6.5795780332831219E-2</v>
      </c>
      <c r="I24" s="740">
        <f t="shared" si="3"/>
        <v>5.4970546063461051E-2</v>
      </c>
      <c r="J24" s="739">
        <f>ROUND($J$6*I24,-3)</f>
        <v>13743000</v>
      </c>
      <c r="L24" s="870"/>
    </row>
    <row r="25" spans="1:12" x14ac:dyDescent="0.25">
      <c r="A25" s="690">
        <v>4100</v>
      </c>
      <c r="B25" s="691" t="s">
        <v>134</v>
      </c>
      <c r="C25" s="702"/>
      <c r="D25" s="734">
        <f t="shared" si="2"/>
        <v>5.2912000000000001E-2</v>
      </c>
      <c r="E25" s="735"/>
      <c r="F25" s="736">
        <f t="shared" si="0"/>
        <v>4.7254556725277758E-2</v>
      </c>
      <c r="G25" s="737"/>
      <c r="H25" s="736">
        <f t="shared" si="1"/>
        <v>6.7960549419976299E-2</v>
      </c>
      <c r="I25" s="740">
        <f t="shared" si="3"/>
        <v>5.3568238450789285E-2</v>
      </c>
      <c r="J25" s="739">
        <f t="shared" si="4"/>
        <v>13392000</v>
      </c>
      <c r="L25" s="870"/>
    </row>
    <row r="26" spans="1:12" x14ac:dyDescent="0.25">
      <c r="A26" s="690">
        <v>4300</v>
      </c>
      <c r="B26" s="691" t="s">
        <v>135</v>
      </c>
      <c r="C26" s="702"/>
      <c r="D26" s="734">
        <f t="shared" si="2"/>
        <v>2.9648000000000001E-2</v>
      </c>
      <c r="E26" s="735"/>
      <c r="F26" s="736">
        <f t="shared" si="0"/>
        <v>2.6569671119583652E-2</v>
      </c>
      <c r="G26" s="737"/>
      <c r="H26" s="736">
        <f t="shared" si="1"/>
        <v>3.7784198737896235E-2</v>
      </c>
      <c r="I26" s="740">
        <f t="shared" si="3"/>
        <v>2.9999870541727168E-2</v>
      </c>
      <c r="J26" s="739">
        <f t="shared" si="4"/>
        <v>7500000</v>
      </c>
      <c r="L26" s="870"/>
    </row>
    <row r="27" spans="1:12" x14ac:dyDescent="0.25">
      <c r="A27" s="692">
        <v>5100</v>
      </c>
      <c r="B27" s="693" t="s">
        <v>136</v>
      </c>
      <c r="C27" s="703"/>
      <c r="D27" s="741">
        <f t="shared" si="2"/>
        <v>1.5044E-2</v>
      </c>
      <c r="E27" s="742"/>
      <c r="F27" s="743">
        <f t="shared" si="0"/>
        <v>9.1674633878932044E-3</v>
      </c>
      <c r="G27" s="744"/>
      <c r="H27" s="743">
        <f t="shared" si="1"/>
        <v>6.0536985306606124E-3</v>
      </c>
      <c r="I27" s="745">
        <f t="shared" si="3"/>
        <v>1.3263489361250042E-2</v>
      </c>
      <c r="J27" s="746">
        <f t="shared" si="4"/>
        <v>3316000</v>
      </c>
      <c r="L27" s="870"/>
    </row>
    <row r="28" spans="1:12" x14ac:dyDescent="0.25">
      <c r="A28" s="690">
        <v>5200</v>
      </c>
      <c r="B28" s="691" t="s">
        <v>137</v>
      </c>
      <c r="C28" s="702"/>
      <c r="D28" s="734">
        <f t="shared" si="2"/>
        <v>1.7440000000000001E-3</v>
      </c>
      <c r="E28" s="735"/>
      <c r="F28" s="736">
        <f t="shared" si="0"/>
        <v>1.2758951647409012E-3</v>
      </c>
      <c r="G28" s="737"/>
      <c r="H28" s="736">
        <f t="shared" si="1"/>
        <v>2.9368208295454351E-3</v>
      </c>
      <c r="I28" s="740">
        <f t="shared" si="3"/>
        <v>1.7930663576656788E-3</v>
      </c>
      <c r="J28" s="739">
        <f t="shared" si="4"/>
        <v>448000</v>
      </c>
      <c r="L28" s="870"/>
    </row>
    <row r="29" spans="1:12" x14ac:dyDescent="0.25">
      <c r="A29" s="690">
        <v>5300</v>
      </c>
      <c r="B29" s="691" t="s">
        <v>138</v>
      </c>
      <c r="C29" s="702"/>
      <c r="D29" s="734">
        <f t="shared" si="2"/>
        <v>4.7679999999999997E-3</v>
      </c>
      <c r="E29" s="735"/>
      <c r="F29" s="736">
        <f t="shared" si="0"/>
        <v>5.6893035314059719E-3</v>
      </c>
      <c r="G29" s="737"/>
      <c r="H29" s="736">
        <f t="shared" si="1"/>
        <v>4.88798736461053E-3</v>
      </c>
      <c r="I29" s="740">
        <f t="shared" si="3"/>
        <v>4.9181942661719489E-3</v>
      </c>
      <c r="J29" s="739">
        <f>ROUND($J$6*I29,-3)</f>
        <v>1230000</v>
      </c>
      <c r="L29" s="870"/>
    </row>
    <row r="30" spans="1:12" x14ac:dyDescent="0.25">
      <c r="A30" s="690">
        <v>5400</v>
      </c>
      <c r="B30" s="691" t="s">
        <v>139</v>
      </c>
      <c r="C30" s="702"/>
      <c r="D30" s="734">
        <f t="shared" si="2"/>
        <v>9.3240000000000007E-3</v>
      </c>
      <c r="E30" s="735"/>
      <c r="F30" s="736">
        <f t="shared" si="0"/>
        <v>4.9841654181395825E-3</v>
      </c>
      <c r="G30" s="737"/>
      <c r="H30" s="736">
        <f t="shared" si="1"/>
        <v>2.6256661645991507E-3</v>
      </c>
      <c r="I30" s="740">
        <f t="shared" si="3"/>
        <v>8.0031914291808538E-3</v>
      </c>
      <c r="J30" s="739">
        <f t="shared" si="4"/>
        <v>2001000</v>
      </c>
      <c r="L30" s="870"/>
    </row>
    <row r="31" spans="1:12" x14ac:dyDescent="0.25">
      <c r="A31" s="690">
        <v>5500</v>
      </c>
      <c r="B31" s="691" t="s">
        <v>140</v>
      </c>
      <c r="C31" s="702"/>
      <c r="D31" s="734">
        <f t="shared" si="2"/>
        <v>4.8719999999999996E-3</v>
      </c>
      <c r="E31" s="735"/>
      <c r="F31" s="736">
        <f t="shared" si="0"/>
        <v>2.7201372559148827E-3</v>
      </c>
      <c r="G31" s="737"/>
      <c r="H31" s="736">
        <f t="shared" si="1"/>
        <v>2.1160498650452065E-3</v>
      </c>
      <c r="I31" s="740">
        <f t="shared" si="3"/>
        <v>4.2736255748917519E-3</v>
      </c>
      <c r="J31" s="739">
        <f t="shared" si="4"/>
        <v>1068000</v>
      </c>
      <c r="L31" s="870"/>
    </row>
    <row r="32" spans="1:12" ht="15" customHeight="1" thickBot="1" x14ac:dyDescent="0.3">
      <c r="A32" s="694">
        <v>5600</v>
      </c>
      <c r="B32" s="695" t="s">
        <v>141</v>
      </c>
      <c r="C32" s="704"/>
      <c r="D32" s="747">
        <f t="shared" si="2"/>
        <v>4.3600000000000002E-3</v>
      </c>
      <c r="E32" s="748"/>
      <c r="F32" s="749">
        <f t="shared" si="0"/>
        <v>5.158574486834583E-3</v>
      </c>
      <c r="G32" s="750"/>
      <c r="H32" s="749">
        <f t="shared" si="1"/>
        <v>8.6583933479279958E-3</v>
      </c>
      <c r="I32" s="751">
        <f t="shared" si="3"/>
        <v>4.9096255078179872E-3</v>
      </c>
      <c r="J32" s="752">
        <f t="shared" si="4"/>
        <v>1227000</v>
      </c>
      <c r="L32" s="870"/>
    </row>
    <row r="33" spans="1:11" ht="15.75" thickBot="1" x14ac:dyDescent="0.3">
      <c r="A33" s="1093" t="s">
        <v>257</v>
      </c>
      <c r="B33" s="1097"/>
      <c r="C33" s="696"/>
      <c r="D33" s="753">
        <f>SUM(D7:D32)</f>
        <v>1</v>
      </c>
      <c r="E33" s="754"/>
      <c r="F33" s="753">
        <f>SUM(F7:F32)</f>
        <v>1.0000000000000002</v>
      </c>
      <c r="G33" s="755"/>
      <c r="H33" s="753">
        <f>SUM(H7:H32)</f>
        <v>1</v>
      </c>
      <c r="I33" s="756">
        <f>SUM(I7:I32)</f>
        <v>1</v>
      </c>
      <c r="J33" s="757">
        <f>SUM(J7:J32)</f>
        <v>250000000</v>
      </c>
    </row>
    <row r="34" spans="1:11" ht="15.75" thickBo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1" ht="15.75" thickBot="1" x14ac:dyDescent="0.3">
      <c r="A35" s="1088" t="s">
        <v>254</v>
      </c>
      <c r="B35" s="1089"/>
      <c r="C35" s="1093" t="s">
        <v>283</v>
      </c>
      <c r="D35" s="1097"/>
      <c r="E35" s="1093" t="s">
        <v>255</v>
      </c>
      <c r="F35" s="1094"/>
      <c r="G35" s="1098" t="s">
        <v>256</v>
      </c>
      <c r="H35" s="1094"/>
      <c r="I35" s="6"/>
      <c r="J35" s="6"/>
    </row>
    <row r="36" spans="1:11" x14ac:dyDescent="0.25">
      <c r="A36" s="688">
        <v>1100</v>
      </c>
      <c r="B36" s="846" t="s">
        <v>116</v>
      </c>
      <c r="C36" s="705">
        <v>45498000</v>
      </c>
      <c r="D36" s="706">
        <f>C36/$C$62</f>
        <v>0.18199199999999999</v>
      </c>
      <c r="E36" s="705">
        <v>273321</v>
      </c>
      <c r="F36" s="707">
        <f>E36/E$62</f>
        <v>0.20812342377465612</v>
      </c>
      <c r="G36" s="708">
        <v>493861</v>
      </c>
      <c r="H36" s="707">
        <f>G36/G$62</f>
        <v>0.23117153636593427</v>
      </c>
      <c r="I36" s="6"/>
      <c r="J36" s="6"/>
      <c r="K36" s="393"/>
    </row>
    <row r="37" spans="1:11" x14ac:dyDescent="0.25">
      <c r="A37" s="690">
        <v>1200</v>
      </c>
      <c r="B37" s="847" t="s">
        <v>117</v>
      </c>
      <c r="C37" s="709">
        <v>4738000</v>
      </c>
      <c r="D37" s="710">
        <f t="shared" ref="D37:D61" si="5">C37/$C$62</f>
        <v>1.8952E-2</v>
      </c>
      <c r="E37" s="709">
        <v>23508</v>
      </c>
      <c r="F37" s="711">
        <f t="shared" ref="F37:F61" si="6">E37/E$62</f>
        <v>1.7900437383496389E-2</v>
      </c>
      <c r="G37" s="712">
        <v>28578</v>
      </c>
      <c r="H37" s="711">
        <f t="shared" ref="H37:H61" si="7">G37/G$62</f>
        <v>1.3377084171995094E-2</v>
      </c>
      <c r="I37" s="6"/>
      <c r="J37" s="6"/>
    </row>
    <row r="38" spans="1:11" x14ac:dyDescent="0.25">
      <c r="A38" s="690">
        <v>1300</v>
      </c>
      <c r="B38" s="847" t="s">
        <v>118</v>
      </c>
      <c r="C38" s="709">
        <v>8763000</v>
      </c>
      <c r="D38" s="710">
        <f t="shared" si="5"/>
        <v>3.5052E-2</v>
      </c>
      <c r="E38" s="709">
        <v>24330</v>
      </c>
      <c r="F38" s="711">
        <f t="shared" si="6"/>
        <v>1.8526358751934112E-2</v>
      </c>
      <c r="G38" s="712">
        <v>25970</v>
      </c>
      <c r="H38" s="711">
        <f t="shared" si="7"/>
        <v>1.2156304708052089E-2</v>
      </c>
      <c r="I38" s="6"/>
      <c r="J38" s="6"/>
    </row>
    <row r="39" spans="1:11" x14ac:dyDescent="0.25">
      <c r="A39" s="690">
        <v>1400</v>
      </c>
      <c r="B39" s="847" t="s">
        <v>119</v>
      </c>
      <c r="C39" s="709">
        <v>37727000</v>
      </c>
      <c r="D39" s="710">
        <f t="shared" si="5"/>
        <v>0.15090799999999999</v>
      </c>
      <c r="E39" s="709">
        <v>214090</v>
      </c>
      <c r="F39" s="711">
        <f t="shared" si="6"/>
        <v>0.16302129655575726</v>
      </c>
      <c r="G39" s="712">
        <v>321022</v>
      </c>
      <c r="H39" s="711">
        <f t="shared" si="7"/>
        <v>0.15026727955288016</v>
      </c>
      <c r="I39" s="6"/>
      <c r="J39" s="6"/>
    </row>
    <row r="40" spans="1:11" x14ac:dyDescent="0.25">
      <c r="A40" s="690">
        <v>1500</v>
      </c>
      <c r="B40" s="847" t="s">
        <v>120</v>
      </c>
      <c r="C40" s="709">
        <v>18623000</v>
      </c>
      <c r="D40" s="710">
        <f t="shared" si="5"/>
        <v>7.4492000000000003E-2</v>
      </c>
      <c r="E40" s="709">
        <v>115727</v>
      </c>
      <c r="F40" s="711">
        <f t="shared" si="6"/>
        <v>8.8121657183932556E-2</v>
      </c>
      <c r="G40" s="712">
        <v>108563</v>
      </c>
      <c r="H40" s="711">
        <f t="shared" si="7"/>
        <v>5.081728563805387E-2</v>
      </c>
      <c r="I40" s="6"/>
      <c r="J40" s="6"/>
    </row>
    <row r="41" spans="1:11" x14ac:dyDescent="0.25">
      <c r="A41" s="690">
        <v>1600</v>
      </c>
      <c r="B41" s="847" t="s">
        <v>121</v>
      </c>
      <c r="C41" s="709">
        <v>2306000</v>
      </c>
      <c r="D41" s="710">
        <f t="shared" si="5"/>
        <v>9.2239999999999996E-3</v>
      </c>
      <c r="E41" s="709">
        <v>2785</v>
      </c>
      <c r="F41" s="711">
        <f t="shared" si="6"/>
        <v>2.1206703298042129E-3</v>
      </c>
      <c r="G41" s="712">
        <v>21609</v>
      </c>
      <c r="H41" s="711">
        <f t="shared" si="7"/>
        <v>1.0114962974058436E-2</v>
      </c>
      <c r="I41" s="6"/>
      <c r="J41" s="6"/>
    </row>
    <row r="42" spans="1:11" x14ac:dyDescent="0.25">
      <c r="A42" s="690">
        <v>1700</v>
      </c>
      <c r="B42" s="847" t="s">
        <v>122</v>
      </c>
      <c r="C42" s="709">
        <v>10553000</v>
      </c>
      <c r="D42" s="710">
        <f t="shared" si="5"/>
        <v>4.2212E-2</v>
      </c>
      <c r="E42" s="709">
        <v>29353</v>
      </c>
      <c r="F42" s="711">
        <f t="shared" si="6"/>
        <v>2.2351179960769501E-2</v>
      </c>
      <c r="G42" s="712">
        <v>39198</v>
      </c>
      <c r="H42" s="711">
        <f t="shared" si="7"/>
        <v>1.8348203001394909E-2</v>
      </c>
      <c r="I42" s="6"/>
      <c r="J42" s="6"/>
    </row>
    <row r="43" spans="1:11" x14ac:dyDescent="0.25">
      <c r="A43" s="690">
        <v>1800</v>
      </c>
      <c r="B43" s="847" t="s">
        <v>123</v>
      </c>
      <c r="C43" s="709">
        <v>5644000</v>
      </c>
      <c r="D43" s="710">
        <f t="shared" si="5"/>
        <v>2.2575999999999999E-2</v>
      </c>
      <c r="E43" s="709">
        <v>35053</v>
      </c>
      <c r="F43" s="711">
        <f t="shared" si="6"/>
        <v>2.6691510617819419E-2</v>
      </c>
      <c r="G43" s="712">
        <v>51051</v>
      </c>
      <c r="H43" s="711">
        <f t="shared" si="7"/>
        <v>2.3896477152513178E-2</v>
      </c>
      <c r="I43" s="6"/>
      <c r="J43" s="6"/>
    </row>
    <row r="44" spans="1:11" x14ac:dyDescent="0.25">
      <c r="A44" s="690">
        <v>1900</v>
      </c>
      <c r="B44" s="847" t="s">
        <v>124</v>
      </c>
      <c r="C44" s="709">
        <v>2974000</v>
      </c>
      <c r="D44" s="710">
        <f t="shared" si="5"/>
        <v>1.1896E-2</v>
      </c>
      <c r="E44" s="709">
        <v>11664</v>
      </c>
      <c r="F44" s="711">
        <f t="shared" si="6"/>
        <v>8.8816871550579327E-3</v>
      </c>
      <c r="G44" s="712">
        <v>6149</v>
      </c>
      <c r="H44" s="711">
        <f t="shared" si="7"/>
        <v>2.8782871640281979E-3</v>
      </c>
      <c r="I44" s="6"/>
      <c r="J44" s="6"/>
    </row>
    <row r="45" spans="1:11" x14ac:dyDescent="0.25">
      <c r="A45" s="690">
        <v>2100</v>
      </c>
      <c r="B45" s="847" t="s">
        <v>125</v>
      </c>
      <c r="C45" s="709">
        <v>10564000</v>
      </c>
      <c r="D45" s="710">
        <f t="shared" si="5"/>
        <v>4.2256000000000002E-2</v>
      </c>
      <c r="E45" s="709">
        <v>83499</v>
      </c>
      <c r="F45" s="711">
        <f t="shared" si="6"/>
        <v>6.3581275356668576E-2</v>
      </c>
      <c r="G45" s="712">
        <v>218645</v>
      </c>
      <c r="H45" s="711">
        <f t="shared" si="7"/>
        <v>0.10234560041940889</v>
      </c>
      <c r="I45" s="6"/>
      <c r="J45" s="6"/>
    </row>
    <row r="46" spans="1:11" x14ac:dyDescent="0.25">
      <c r="A46" s="690">
        <v>2200</v>
      </c>
      <c r="B46" s="847" t="s">
        <v>126</v>
      </c>
      <c r="C46" s="709">
        <v>3449000</v>
      </c>
      <c r="D46" s="710">
        <f t="shared" si="5"/>
        <v>1.3795999999999999E-2</v>
      </c>
      <c r="E46" s="709">
        <v>16819</v>
      </c>
      <c r="F46" s="711">
        <f t="shared" si="6"/>
        <v>1.2807021284372373E-2</v>
      </c>
      <c r="G46" s="712">
        <v>37195</v>
      </c>
      <c r="H46" s="711">
        <f t="shared" si="7"/>
        <v>1.7410618160030707E-2</v>
      </c>
      <c r="I46" s="6"/>
      <c r="J46" s="6"/>
    </row>
    <row r="47" spans="1:11" x14ac:dyDescent="0.25">
      <c r="A47" s="690">
        <v>2300</v>
      </c>
      <c r="B47" s="847" t="s">
        <v>127</v>
      </c>
      <c r="C47" s="709">
        <v>8891000</v>
      </c>
      <c r="D47" s="710">
        <f t="shared" si="5"/>
        <v>3.5563999999999998E-2</v>
      </c>
      <c r="E47" s="709">
        <v>43049</v>
      </c>
      <c r="F47" s="711">
        <f t="shared" si="6"/>
        <v>3.2780156921989788E-2</v>
      </c>
      <c r="G47" s="712">
        <v>43647</v>
      </c>
      <c r="H47" s="711">
        <f t="shared" si="7"/>
        <v>2.0430736680490932E-2</v>
      </c>
      <c r="I47" s="6"/>
      <c r="J47" s="6"/>
    </row>
    <row r="48" spans="1:11" x14ac:dyDescent="0.25">
      <c r="A48" s="690">
        <v>2400</v>
      </c>
      <c r="B48" s="847" t="s">
        <v>128</v>
      </c>
      <c r="C48" s="709">
        <v>6229000</v>
      </c>
      <c r="D48" s="710">
        <f t="shared" si="5"/>
        <v>2.4916000000000001E-2</v>
      </c>
      <c r="E48" s="709">
        <v>27044</v>
      </c>
      <c r="F48" s="711">
        <f t="shared" si="6"/>
        <v>2.0592965313904896E-2</v>
      </c>
      <c r="G48" s="712">
        <v>40788</v>
      </c>
      <c r="H48" s="711">
        <f t="shared" si="7"/>
        <v>1.909246655494912E-2</v>
      </c>
      <c r="I48" s="6"/>
      <c r="J48" s="6"/>
    </row>
    <row r="49" spans="1:10" x14ac:dyDescent="0.25">
      <c r="A49" s="690">
        <v>2500</v>
      </c>
      <c r="B49" s="847" t="s">
        <v>129</v>
      </c>
      <c r="C49" s="709">
        <v>6100000</v>
      </c>
      <c r="D49" s="710">
        <f t="shared" si="5"/>
        <v>2.4400000000000002E-2</v>
      </c>
      <c r="E49" s="709">
        <v>20213</v>
      </c>
      <c r="F49" s="711">
        <f t="shared" si="6"/>
        <v>1.5391421679114024E-2</v>
      </c>
      <c r="G49" s="712">
        <v>38453</v>
      </c>
      <c r="H49" s="711">
        <f t="shared" si="7"/>
        <v>1.7999475738880517E-2</v>
      </c>
      <c r="I49" s="6"/>
      <c r="J49" s="6"/>
    </row>
    <row r="50" spans="1:10" x14ac:dyDescent="0.25">
      <c r="A50" s="690">
        <v>2600</v>
      </c>
      <c r="B50" s="847" t="s">
        <v>130</v>
      </c>
      <c r="C50" s="709">
        <v>22513000</v>
      </c>
      <c r="D50" s="710">
        <f t="shared" si="5"/>
        <v>9.0051999999999993E-2</v>
      </c>
      <c r="E50" s="709">
        <v>87031</v>
      </c>
      <c r="F50" s="711">
        <f t="shared" si="6"/>
        <v>6.6270757441001957E-2</v>
      </c>
      <c r="G50" s="712">
        <v>94618</v>
      </c>
      <c r="H50" s="711">
        <f t="shared" si="7"/>
        <v>4.4289766610183773E-2</v>
      </c>
      <c r="I50" s="6"/>
      <c r="J50" s="6"/>
    </row>
    <row r="51" spans="1:10" x14ac:dyDescent="0.25">
      <c r="A51" s="690">
        <v>2700</v>
      </c>
      <c r="B51" s="847" t="s">
        <v>131</v>
      </c>
      <c r="C51" s="709">
        <v>7887000</v>
      </c>
      <c r="D51" s="710">
        <f t="shared" si="5"/>
        <v>3.1548E-2</v>
      </c>
      <c r="E51" s="709">
        <v>27429</v>
      </c>
      <c r="F51" s="711">
        <f t="shared" si="6"/>
        <v>2.088612799863546E-2</v>
      </c>
      <c r="G51" s="712">
        <v>105180</v>
      </c>
      <c r="H51" s="711">
        <f t="shared" si="7"/>
        <v>4.9233736203038843E-2</v>
      </c>
      <c r="I51" s="6"/>
      <c r="J51" s="6"/>
    </row>
    <row r="52" spans="1:10" x14ac:dyDescent="0.25">
      <c r="A52" s="690">
        <v>2800</v>
      </c>
      <c r="B52" s="847" t="s">
        <v>132</v>
      </c>
      <c r="C52" s="709">
        <v>5034000</v>
      </c>
      <c r="D52" s="710">
        <f t="shared" si="5"/>
        <v>2.0136000000000001E-2</v>
      </c>
      <c r="E52" s="709">
        <v>29818</v>
      </c>
      <c r="F52" s="711">
        <f t="shared" si="6"/>
        <v>2.2705259567002523E-2</v>
      </c>
      <c r="G52" s="712">
        <v>44376</v>
      </c>
      <c r="H52" s="711">
        <f t="shared" si="7"/>
        <v>2.0771974498441259E-2</v>
      </c>
      <c r="I52" s="6"/>
      <c r="J52" s="6"/>
    </row>
    <row r="53" spans="1:10" x14ac:dyDescent="0.25">
      <c r="A53" s="690">
        <v>3100</v>
      </c>
      <c r="B53" s="847" t="s">
        <v>133</v>
      </c>
      <c r="C53" s="709">
        <v>11839000</v>
      </c>
      <c r="D53" s="710">
        <f t="shared" si="5"/>
        <v>4.7356000000000002E-2</v>
      </c>
      <c r="E53" s="709">
        <v>117658</v>
      </c>
      <c r="F53" s="711">
        <f t="shared" si="6"/>
        <v>8.959203937669806E-2</v>
      </c>
      <c r="G53" s="712">
        <v>142219</v>
      </c>
      <c r="H53" s="711">
        <f t="shared" si="7"/>
        <v>6.6571332278569886E-2</v>
      </c>
      <c r="I53" s="6"/>
      <c r="J53" s="6"/>
    </row>
    <row r="54" spans="1:10" x14ac:dyDescent="0.25">
      <c r="A54" s="690">
        <v>4100</v>
      </c>
      <c r="B54" s="847" t="s">
        <v>134</v>
      </c>
      <c r="C54" s="709">
        <v>13228000</v>
      </c>
      <c r="D54" s="710">
        <f t="shared" si="5"/>
        <v>5.2912000000000001E-2</v>
      </c>
      <c r="E54" s="709">
        <v>62319</v>
      </c>
      <c r="F54" s="711">
        <f t="shared" si="6"/>
        <v>4.7453520388893625E-2</v>
      </c>
      <c r="G54" s="712">
        <v>132511</v>
      </c>
      <c r="H54" s="711">
        <f t="shared" si="7"/>
        <v>6.2027111789321923E-2</v>
      </c>
      <c r="I54" s="6"/>
      <c r="J54" s="6"/>
    </row>
    <row r="55" spans="1:10" x14ac:dyDescent="0.25">
      <c r="A55" s="690">
        <v>4300</v>
      </c>
      <c r="B55" s="847" t="s">
        <v>135</v>
      </c>
      <c r="C55" s="709">
        <v>7412000</v>
      </c>
      <c r="D55" s="710">
        <f t="shared" si="5"/>
        <v>2.9648000000000001E-2</v>
      </c>
      <c r="E55" s="709">
        <v>32290</v>
      </c>
      <c r="F55" s="711">
        <f t="shared" si="6"/>
        <v>2.4587592441428378E-2</v>
      </c>
      <c r="G55" s="712">
        <v>83872</v>
      </c>
      <c r="H55" s="711">
        <f t="shared" si="7"/>
        <v>3.9259668404841928E-2</v>
      </c>
      <c r="I55" s="6"/>
      <c r="J55" s="6"/>
    </row>
    <row r="56" spans="1:10" x14ac:dyDescent="0.25">
      <c r="A56" s="690">
        <v>5100</v>
      </c>
      <c r="B56" s="847" t="s">
        <v>136</v>
      </c>
      <c r="C56" s="709">
        <v>3761000</v>
      </c>
      <c r="D56" s="710">
        <f t="shared" si="5"/>
        <v>1.5044E-2</v>
      </c>
      <c r="E56" s="709">
        <v>12470</v>
      </c>
      <c r="F56" s="711">
        <f t="shared" si="6"/>
        <v>9.4954251391951659E-3</v>
      </c>
      <c r="G56" s="712">
        <v>12967</v>
      </c>
      <c r="H56" s="711">
        <f t="shared" si="7"/>
        <v>6.069726728891469E-3</v>
      </c>
      <c r="I56" s="6"/>
      <c r="J56" s="6"/>
    </row>
    <row r="57" spans="1:10" x14ac:dyDescent="0.25">
      <c r="A57" s="690">
        <v>5200</v>
      </c>
      <c r="B57" s="847" t="s">
        <v>137</v>
      </c>
      <c r="C57" s="709">
        <v>436000</v>
      </c>
      <c r="D57" s="710">
        <f t="shared" si="5"/>
        <v>1.7440000000000001E-3</v>
      </c>
      <c r="E57" s="709">
        <v>1337</v>
      </c>
      <c r="F57" s="711">
        <f t="shared" si="6"/>
        <v>1.0180740506097784E-3</v>
      </c>
      <c r="G57" s="712">
        <v>6148</v>
      </c>
      <c r="H57" s="711">
        <f t="shared" si="7"/>
        <v>2.8778190737429434E-3</v>
      </c>
      <c r="I57" s="6"/>
      <c r="J57" s="6"/>
    </row>
    <row r="58" spans="1:10" x14ac:dyDescent="0.25">
      <c r="A58" s="690">
        <v>5300</v>
      </c>
      <c r="B58" s="847" t="s">
        <v>138</v>
      </c>
      <c r="C58" s="709">
        <v>1192000</v>
      </c>
      <c r="D58" s="710">
        <f t="shared" si="5"/>
        <v>4.7679999999999997E-3</v>
      </c>
      <c r="E58" s="709">
        <v>7552</v>
      </c>
      <c r="F58" s="711">
        <f t="shared" si="6"/>
        <v>5.7505573898317475E-3</v>
      </c>
      <c r="G58" s="712">
        <v>9999</v>
      </c>
      <c r="H58" s="711">
        <f t="shared" si="7"/>
        <v>4.680434762256944E-3</v>
      </c>
      <c r="I58" s="6"/>
      <c r="J58" s="6"/>
    </row>
    <row r="59" spans="1:10" x14ac:dyDescent="0.25">
      <c r="A59" s="690">
        <v>5400</v>
      </c>
      <c r="B59" s="847" t="s">
        <v>139</v>
      </c>
      <c r="C59" s="709">
        <v>2331000</v>
      </c>
      <c r="D59" s="710">
        <f t="shared" si="5"/>
        <v>9.3240000000000007E-3</v>
      </c>
      <c r="E59" s="709">
        <v>5306</v>
      </c>
      <c r="F59" s="711">
        <f t="shared" si="6"/>
        <v>4.0403148186503243E-3</v>
      </c>
      <c r="G59" s="712">
        <v>6136</v>
      </c>
      <c r="H59" s="711">
        <f t="shared" si="7"/>
        <v>2.8722019903198929E-3</v>
      </c>
      <c r="I59" s="6"/>
      <c r="J59" s="6"/>
    </row>
    <row r="60" spans="1:10" x14ac:dyDescent="0.25">
      <c r="A60" s="690">
        <v>5500</v>
      </c>
      <c r="B60" s="847" t="s">
        <v>140</v>
      </c>
      <c r="C60" s="709">
        <v>1218000</v>
      </c>
      <c r="D60" s="710">
        <f t="shared" si="5"/>
        <v>4.8719999999999996E-3</v>
      </c>
      <c r="E60" s="709">
        <v>2576</v>
      </c>
      <c r="F60" s="711">
        <f t="shared" si="6"/>
        <v>1.9615248723790493E-3</v>
      </c>
      <c r="G60" s="712">
        <v>4428</v>
      </c>
      <c r="H60" s="711">
        <f t="shared" si="7"/>
        <v>2.0727037831056853E-3</v>
      </c>
      <c r="I60" s="6"/>
      <c r="J60" s="6"/>
    </row>
    <row r="61" spans="1:10" ht="15" customHeight="1" thickBot="1" x14ac:dyDescent="0.3">
      <c r="A61" s="694">
        <v>5600</v>
      </c>
      <c r="B61" s="848" t="s">
        <v>141</v>
      </c>
      <c r="C61" s="713">
        <v>1090000</v>
      </c>
      <c r="D61" s="714">
        <f t="shared" si="5"/>
        <v>4.3600000000000002E-3</v>
      </c>
      <c r="E61" s="713">
        <v>7023</v>
      </c>
      <c r="F61" s="715">
        <f t="shared" si="6"/>
        <v>5.3477442463967639E-3</v>
      </c>
      <c r="G61" s="716">
        <v>19157</v>
      </c>
      <c r="H61" s="715">
        <f t="shared" si="7"/>
        <v>8.9672055946150887E-3</v>
      </c>
      <c r="I61" s="6"/>
      <c r="J61" s="6"/>
    </row>
    <row r="62" spans="1:10" ht="15.75" thickBot="1" x14ac:dyDescent="0.3">
      <c r="A62" s="849">
        <v>2018</v>
      </c>
      <c r="B62" s="840" t="s">
        <v>257</v>
      </c>
      <c r="C62" s="717">
        <f t="shared" ref="C62:H62" si="8">SUM(C36:C61)</f>
        <v>250000000</v>
      </c>
      <c r="D62" s="718">
        <f t="shared" si="8"/>
        <v>1</v>
      </c>
      <c r="E62" s="717">
        <f t="shared" si="8"/>
        <v>1313264</v>
      </c>
      <c r="F62" s="719">
        <f t="shared" si="8"/>
        <v>0.99999999999999978</v>
      </c>
      <c r="G62" s="720">
        <f t="shared" si="8"/>
        <v>2136340</v>
      </c>
      <c r="H62" s="721">
        <f t="shared" si="8"/>
        <v>1.0000000000000002</v>
      </c>
      <c r="I62" s="6"/>
      <c r="J62" s="6"/>
    </row>
    <row r="63" spans="1:10" ht="15.75" thickBo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ht="15.75" thickBot="1" x14ac:dyDescent="0.3">
      <c r="A64" s="1088" t="s">
        <v>254</v>
      </c>
      <c r="B64" s="1089"/>
      <c r="C64" s="1090"/>
      <c r="D64" s="1090"/>
      <c r="E64" s="1091" t="s">
        <v>255</v>
      </c>
      <c r="F64" s="1092"/>
      <c r="G64" s="1093" t="s">
        <v>256</v>
      </c>
      <c r="H64" s="1094"/>
      <c r="I64" s="6"/>
      <c r="J64" s="6"/>
    </row>
    <row r="65" spans="1:10" x14ac:dyDescent="0.25">
      <c r="A65" s="688">
        <v>1100</v>
      </c>
      <c r="B65" s="846" t="s">
        <v>116</v>
      </c>
      <c r="C65" s="6"/>
      <c r="D65" s="6"/>
      <c r="E65" s="705">
        <v>264082</v>
      </c>
      <c r="F65" s="707">
        <f t="shared" ref="F65:F90" si="9">E65/E$91</f>
        <v>0.19507687261816031</v>
      </c>
      <c r="G65" s="708">
        <v>460094</v>
      </c>
      <c r="H65" s="707">
        <f>G65/G$91</f>
        <v>0.23367124094708935</v>
      </c>
      <c r="I65" s="6"/>
      <c r="J65" s="6"/>
    </row>
    <row r="66" spans="1:10" x14ac:dyDescent="0.25">
      <c r="A66" s="690">
        <v>1200</v>
      </c>
      <c r="B66" s="847" t="s">
        <v>117</v>
      </c>
      <c r="C66" s="6"/>
      <c r="D66" s="6"/>
      <c r="E66" s="709">
        <v>25793</v>
      </c>
      <c r="F66" s="711">
        <f t="shared" si="9"/>
        <v>1.9053240188427113E-2</v>
      </c>
      <c r="G66" s="712">
        <v>25348</v>
      </c>
      <c r="H66" s="711">
        <f t="shared" ref="H66:H90" si="10">G66/G$91</f>
        <v>1.287367063149448E-2</v>
      </c>
      <c r="I66" s="6"/>
      <c r="J66" s="6"/>
    </row>
    <row r="67" spans="1:10" x14ac:dyDescent="0.25">
      <c r="A67" s="690">
        <v>1300</v>
      </c>
      <c r="B67" s="847" t="s">
        <v>118</v>
      </c>
      <c r="C67" s="6"/>
      <c r="D67" s="6"/>
      <c r="E67" s="709">
        <v>29968</v>
      </c>
      <c r="F67" s="711">
        <f t="shared" si="9"/>
        <v>2.2137304771324921E-2</v>
      </c>
      <c r="G67" s="712">
        <v>26034</v>
      </c>
      <c r="H67" s="711">
        <f t="shared" si="10"/>
        <v>1.3222074373533505E-2</v>
      </c>
      <c r="I67" s="6"/>
      <c r="J67" s="6"/>
    </row>
    <row r="68" spans="1:10" x14ac:dyDescent="0.25">
      <c r="A68" s="690">
        <v>1400</v>
      </c>
      <c r="B68" s="847" t="s">
        <v>119</v>
      </c>
      <c r="C68" s="6"/>
      <c r="D68" s="6"/>
      <c r="E68" s="709">
        <v>217391</v>
      </c>
      <c r="F68" s="711">
        <f t="shared" si="9"/>
        <v>0.16058631945885932</v>
      </c>
      <c r="G68" s="712">
        <v>305042</v>
      </c>
      <c r="H68" s="711">
        <f t="shared" si="10"/>
        <v>0.15492386921146989</v>
      </c>
      <c r="I68" s="6"/>
      <c r="J68" s="6"/>
    </row>
    <row r="69" spans="1:10" x14ac:dyDescent="0.25">
      <c r="A69" s="690">
        <v>1500</v>
      </c>
      <c r="B69" s="847" t="s">
        <v>120</v>
      </c>
      <c r="C69" s="6"/>
      <c r="D69" s="6"/>
      <c r="E69" s="709">
        <v>124757</v>
      </c>
      <c r="F69" s="711">
        <f t="shared" si="9"/>
        <v>9.2157759321816052E-2</v>
      </c>
      <c r="G69" s="712">
        <v>87698</v>
      </c>
      <c r="H69" s="711">
        <f t="shared" si="10"/>
        <v>4.4539812491746995E-2</v>
      </c>
      <c r="I69" s="6"/>
      <c r="J69" s="6"/>
    </row>
    <row r="70" spans="1:10" x14ac:dyDescent="0.25">
      <c r="A70" s="690">
        <v>1600</v>
      </c>
      <c r="B70" s="847" t="s">
        <v>121</v>
      </c>
      <c r="C70" s="6"/>
      <c r="D70" s="6"/>
      <c r="E70" s="709">
        <v>4139</v>
      </c>
      <c r="F70" s="711">
        <f t="shared" si="9"/>
        <v>3.0574714511650376E-3</v>
      </c>
      <c r="G70" s="712">
        <v>19004</v>
      </c>
      <c r="H70" s="711">
        <f t="shared" si="10"/>
        <v>9.651697833395971E-3</v>
      </c>
      <c r="I70" s="6"/>
      <c r="J70" s="6"/>
    </row>
    <row r="71" spans="1:10" x14ac:dyDescent="0.25">
      <c r="A71" s="690">
        <v>1700</v>
      </c>
      <c r="B71" s="847" t="s">
        <v>122</v>
      </c>
      <c r="C71" s="6"/>
      <c r="D71" s="6"/>
      <c r="E71" s="709">
        <v>34524</v>
      </c>
      <c r="F71" s="711">
        <f t="shared" si="9"/>
        <v>2.5502813331727898E-2</v>
      </c>
      <c r="G71" s="712">
        <v>34329</v>
      </c>
      <c r="H71" s="711">
        <f t="shared" si="10"/>
        <v>1.7434915540025801E-2</v>
      </c>
      <c r="I71" s="6"/>
      <c r="J71" s="6"/>
    </row>
    <row r="72" spans="1:10" x14ac:dyDescent="0.25">
      <c r="A72" s="690">
        <v>1800</v>
      </c>
      <c r="B72" s="847" t="s">
        <v>123</v>
      </c>
      <c r="C72" s="6"/>
      <c r="D72" s="6"/>
      <c r="E72" s="709">
        <v>35089</v>
      </c>
      <c r="F72" s="711">
        <f t="shared" si="9"/>
        <v>2.592017776031167E-2</v>
      </c>
      <c r="G72" s="712">
        <v>39534</v>
      </c>
      <c r="H72" s="711">
        <f t="shared" si="10"/>
        <v>2.007841623581753E-2</v>
      </c>
      <c r="I72" s="6"/>
      <c r="J72" s="6"/>
    </row>
    <row r="73" spans="1:10" x14ac:dyDescent="0.25">
      <c r="A73" s="690">
        <v>1900</v>
      </c>
      <c r="B73" s="847" t="s">
        <v>124</v>
      </c>
      <c r="C73" s="6"/>
      <c r="D73" s="6"/>
      <c r="E73" s="709">
        <v>12494</v>
      </c>
      <c r="F73" s="711">
        <f t="shared" si="9"/>
        <v>9.2292941074790975E-3</v>
      </c>
      <c r="G73" s="712">
        <v>5418</v>
      </c>
      <c r="H73" s="711">
        <f t="shared" si="10"/>
        <v>2.7516785340633222E-3</v>
      </c>
      <c r="I73" s="6"/>
      <c r="J73" s="6"/>
    </row>
    <row r="74" spans="1:10" x14ac:dyDescent="0.25">
      <c r="A74" s="690">
        <v>2100</v>
      </c>
      <c r="B74" s="847" t="s">
        <v>125</v>
      </c>
      <c r="C74" s="6"/>
      <c r="D74" s="6"/>
      <c r="E74" s="709">
        <v>86023</v>
      </c>
      <c r="F74" s="711">
        <f t="shared" si="9"/>
        <v>6.354502697356125E-2</v>
      </c>
      <c r="G74" s="712">
        <v>185016</v>
      </c>
      <c r="H74" s="711">
        <f t="shared" si="10"/>
        <v>9.3965403406840092E-2</v>
      </c>
      <c r="I74" s="6"/>
      <c r="J74" s="6"/>
    </row>
    <row r="75" spans="1:10" x14ac:dyDescent="0.25">
      <c r="A75" s="690">
        <v>2200</v>
      </c>
      <c r="B75" s="847" t="s">
        <v>126</v>
      </c>
      <c r="C75" s="6"/>
      <c r="D75" s="6"/>
      <c r="E75" s="709">
        <v>15945</v>
      </c>
      <c r="F75" s="711">
        <f t="shared" si="9"/>
        <v>1.1778541263306724E-2</v>
      </c>
      <c r="G75" s="712">
        <v>35011</v>
      </c>
      <c r="H75" s="711">
        <f t="shared" si="10"/>
        <v>1.7781287773364889E-2</v>
      </c>
      <c r="I75" s="6"/>
      <c r="J75" s="6"/>
    </row>
    <row r="76" spans="1:10" x14ac:dyDescent="0.25">
      <c r="A76" s="690">
        <v>2300</v>
      </c>
      <c r="B76" s="847" t="s">
        <v>127</v>
      </c>
      <c r="C76" s="6"/>
      <c r="D76" s="6"/>
      <c r="E76" s="709">
        <v>46361</v>
      </c>
      <c r="F76" s="711">
        <f t="shared" si="9"/>
        <v>3.4246782785083911E-2</v>
      </c>
      <c r="G76" s="712">
        <v>45827</v>
      </c>
      <c r="H76" s="711">
        <f t="shared" si="10"/>
        <v>2.3274487297991853E-2</v>
      </c>
      <c r="I76" s="6"/>
      <c r="J76" s="6"/>
    </row>
    <row r="77" spans="1:10" x14ac:dyDescent="0.25">
      <c r="A77" s="690">
        <v>2400</v>
      </c>
      <c r="B77" s="847" t="s">
        <v>128</v>
      </c>
      <c r="C77" s="6"/>
      <c r="D77" s="6"/>
      <c r="E77" s="709">
        <v>32912</v>
      </c>
      <c r="F77" s="711">
        <f t="shared" si="9"/>
        <v>2.4312031988582682E-2</v>
      </c>
      <c r="G77" s="712">
        <v>33714</v>
      </c>
      <c r="H77" s="711">
        <f t="shared" si="10"/>
        <v>1.712257107741064E-2</v>
      </c>
      <c r="I77" s="6"/>
      <c r="J77" s="6"/>
    </row>
    <row r="78" spans="1:10" x14ac:dyDescent="0.25">
      <c r="A78" s="690">
        <v>2500</v>
      </c>
      <c r="B78" s="847" t="s">
        <v>129</v>
      </c>
      <c r="C78" s="6"/>
      <c r="D78" s="6"/>
      <c r="E78" s="709">
        <v>24670</v>
      </c>
      <c r="F78" s="711">
        <f t="shared" si="9"/>
        <v>1.8223682217985378E-2</v>
      </c>
      <c r="G78" s="712">
        <v>26450</v>
      </c>
      <c r="H78" s="711">
        <f t="shared" si="10"/>
        <v>1.3433351278326849E-2</v>
      </c>
      <c r="I78" s="6"/>
      <c r="J78" s="6"/>
    </row>
    <row r="79" spans="1:10" x14ac:dyDescent="0.25">
      <c r="A79" s="690">
        <v>2600</v>
      </c>
      <c r="B79" s="847" t="s">
        <v>130</v>
      </c>
      <c r="C79" s="6"/>
      <c r="D79" s="6"/>
      <c r="E79" s="709">
        <v>84397</v>
      </c>
      <c r="F79" s="711">
        <f t="shared" si="9"/>
        <v>6.2343903856964408E-2</v>
      </c>
      <c r="G79" s="712">
        <v>105328</v>
      </c>
      <c r="H79" s="711">
        <f t="shared" si="10"/>
        <v>5.3493687086714946E-2</v>
      </c>
      <c r="I79" s="6"/>
      <c r="J79" s="6"/>
    </row>
    <row r="80" spans="1:10" x14ac:dyDescent="0.25">
      <c r="A80" s="690">
        <v>2700</v>
      </c>
      <c r="B80" s="847" t="s">
        <v>131</v>
      </c>
      <c r="C80" s="6"/>
      <c r="D80" s="6"/>
      <c r="E80" s="709">
        <v>28771</v>
      </c>
      <c r="F80" s="711">
        <f t="shared" si="9"/>
        <v>2.1253083141210268E-2</v>
      </c>
      <c r="G80" s="712">
        <v>88132</v>
      </c>
      <c r="H80" s="711">
        <f t="shared" si="10"/>
        <v>4.4760231185690051E-2</v>
      </c>
      <c r="I80" s="6"/>
      <c r="J80" s="6"/>
    </row>
    <row r="81" spans="1:10" x14ac:dyDescent="0.25">
      <c r="A81" s="690">
        <v>2800</v>
      </c>
      <c r="B81" s="847" t="s">
        <v>132</v>
      </c>
      <c r="C81" s="6"/>
      <c r="D81" s="6"/>
      <c r="E81" s="709">
        <v>31498</v>
      </c>
      <c r="F81" s="711">
        <f t="shared" si="9"/>
        <v>2.3267512869967713E-2</v>
      </c>
      <c r="G81" s="712">
        <v>43613</v>
      </c>
      <c r="H81" s="711">
        <f t="shared" si="10"/>
        <v>2.2150047232577273E-2</v>
      </c>
      <c r="I81" s="6"/>
      <c r="J81" s="6"/>
    </row>
    <row r="82" spans="1:10" x14ac:dyDescent="0.25">
      <c r="A82" s="690">
        <v>3100</v>
      </c>
      <c r="B82" s="847" t="s">
        <v>133</v>
      </c>
      <c r="C82" s="6"/>
      <c r="D82" s="6"/>
      <c r="E82" s="709">
        <v>110757</v>
      </c>
      <c r="F82" s="711">
        <f t="shared" si="9"/>
        <v>8.181598587018267E-2</v>
      </c>
      <c r="G82" s="712">
        <v>131889</v>
      </c>
      <c r="H82" s="711">
        <f t="shared" si="10"/>
        <v>6.698341273146502E-2</v>
      </c>
      <c r="I82" s="6"/>
      <c r="J82" s="6"/>
    </row>
    <row r="83" spans="1:10" x14ac:dyDescent="0.25">
      <c r="A83" s="690">
        <v>4100</v>
      </c>
      <c r="B83" s="847" t="s">
        <v>134</v>
      </c>
      <c r="C83" s="6"/>
      <c r="D83" s="6"/>
      <c r="E83" s="709">
        <v>64652</v>
      </c>
      <c r="F83" s="711">
        <f t="shared" si="9"/>
        <v>4.7758309799642913E-2</v>
      </c>
      <c r="G83" s="712">
        <v>138627</v>
      </c>
      <c r="H83" s="711">
        <f t="shared" si="10"/>
        <v>7.0405489136507224E-2</v>
      </c>
      <c r="I83" s="6"/>
      <c r="J83" s="6"/>
    </row>
    <row r="84" spans="1:10" x14ac:dyDescent="0.25">
      <c r="A84" s="690">
        <v>4300</v>
      </c>
      <c r="B84" s="847" t="s">
        <v>135</v>
      </c>
      <c r="C84" s="6"/>
      <c r="D84" s="6"/>
      <c r="E84" s="709">
        <v>39294</v>
      </c>
      <c r="F84" s="711">
        <f t="shared" si="9"/>
        <v>2.9026403286320123E-2</v>
      </c>
      <c r="G84" s="712">
        <v>78555</v>
      </c>
      <c r="H84" s="711">
        <f t="shared" si="10"/>
        <v>3.9896291480868269E-2</v>
      </c>
      <c r="I84" s="6"/>
      <c r="J84" s="6"/>
    </row>
    <row r="85" spans="1:10" x14ac:dyDescent="0.25">
      <c r="A85" s="690">
        <v>5100</v>
      </c>
      <c r="B85" s="847" t="s">
        <v>136</v>
      </c>
      <c r="C85" s="6"/>
      <c r="D85" s="6"/>
      <c r="E85" s="709">
        <v>11774</v>
      </c>
      <c r="F85" s="711">
        <f t="shared" si="9"/>
        <v>8.6974314728236659E-3</v>
      </c>
      <c r="G85" s="712">
        <v>10821</v>
      </c>
      <c r="H85" s="711">
        <f t="shared" si="10"/>
        <v>5.495738910501884E-3</v>
      </c>
      <c r="I85" s="6"/>
      <c r="J85" s="6"/>
    </row>
    <row r="86" spans="1:10" x14ac:dyDescent="0.25">
      <c r="A86" s="690">
        <v>5200</v>
      </c>
      <c r="B86" s="847" t="s">
        <v>137</v>
      </c>
      <c r="C86" s="6"/>
      <c r="D86" s="6"/>
      <c r="E86" s="709">
        <v>3072</v>
      </c>
      <c r="F86" s="711">
        <f t="shared" si="9"/>
        <v>2.2692805745298372E-3</v>
      </c>
      <c r="G86" s="712">
        <v>6024</v>
      </c>
      <c r="H86" s="711">
        <f t="shared" si="10"/>
        <v>3.0594521021036275E-3</v>
      </c>
      <c r="I86" s="6"/>
      <c r="J86" s="6"/>
    </row>
    <row r="87" spans="1:10" x14ac:dyDescent="0.25">
      <c r="A87" s="690">
        <v>5300</v>
      </c>
      <c r="B87" s="847" t="s">
        <v>138</v>
      </c>
      <c r="C87" s="6"/>
      <c r="D87" s="6"/>
      <c r="E87" s="709">
        <v>6594</v>
      </c>
      <c r="F87" s="711">
        <f t="shared" si="9"/>
        <v>4.8709752957193184E-3</v>
      </c>
      <c r="G87" s="712">
        <v>9986</v>
      </c>
      <c r="H87" s="711">
        <f t="shared" si="10"/>
        <v>5.0716614693902427E-3</v>
      </c>
      <c r="I87" s="6"/>
      <c r="J87" s="6"/>
    </row>
    <row r="88" spans="1:10" x14ac:dyDescent="0.25">
      <c r="A88" s="690">
        <v>5400</v>
      </c>
      <c r="B88" s="847" t="s">
        <v>139</v>
      </c>
      <c r="C88" s="6"/>
      <c r="D88" s="6"/>
      <c r="E88" s="709">
        <v>7818</v>
      </c>
      <c r="F88" s="711">
        <f t="shared" si="9"/>
        <v>5.7751417746335501E-3</v>
      </c>
      <c r="G88" s="712">
        <v>4881</v>
      </c>
      <c r="H88" s="711">
        <f t="shared" si="10"/>
        <v>2.4789484910969131E-3</v>
      </c>
      <c r="I88" s="6"/>
      <c r="J88" s="6"/>
    </row>
    <row r="89" spans="1:10" x14ac:dyDescent="0.25">
      <c r="A89" s="690">
        <v>5500</v>
      </c>
      <c r="B89" s="847" t="s">
        <v>140</v>
      </c>
      <c r="C89" s="6"/>
      <c r="D89" s="6"/>
      <c r="E89" s="709">
        <v>4306</v>
      </c>
      <c r="F89" s="711">
        <f t="shared" si="9"/>
        <v>3.1808340344809502E-3</v>
      </c>
      <c r="G89" s="712">
        <v>4402</v>
      </c>
      <c r="H89" s="711">
        <f t="shared" si="10"/>
        <v>2.2356753242795762E-3</v>
      </c>
      <c r="I89" s="6"/>
      <c r="J89" s="6"/>
    </row>
    <row r="90" spans="1:10" ht="15" customHeight="1" thickBot="1" x14ac:dyDescent="0.3">
      <c r="A90" s="694">
        <v>5600</v>
      </c>
      <c r="B90" s="848" t="s">
        <v>141</v>
      </c>
      <c r="C90" s="6"/>
      <c r="D90" s="6"/>
      <c r="E90" s="713">
        <v>6652</v>
      </c>
      <c r="F90" s="715">
        <f t="shared" si="9"/>
        <v>4.9138197857332283E-3</v>
      </c>
      <c r="G90" s="716">
        <v>18203</v>
      </c>
      <c r="H90" s="715">
        <f t="shared" si="10"/>
        <v>9.2448882162337858E-3</v>
      </c>
      <c r="I90" s="6"/>
      <c r="J90" s="6"/>
    </row>
    <row r="91" spans="1:10" ht="15.75" thickBot="1" x14ac:dyDescent="0.3">
      <c r="A91" s="849">
        <v>2017</v>
      </c>
      <c r="B91" s="840" t="s">
        <v>257</v>
      </c>
      <c r="C91" s="6"/>
      <c r="D91" s="6"/>
      <c r="E91" s="717">
        <f>SUM(E65:E90)</f>
        <v>1353733</v>
      </c>
      <c r="F91" s="719">
        <f>SUM(F65:F90)</f>
        <v>0.99999999999999989</v>
      </c>
      <c r="G91" s="720">
        <f>SUM(G65:G90)</f>
        <v>1968980</v>
      </c>
      <c r="H91" s="721">
        <f>SUM(H65:H90)</f>
        <v>1.0000000000000002</v>
      </c>
      <c r="I91" s="6"/>
      <c r="J91" s="6"/>
    </row>
    <row r="92" spans="1:10" ht="15.75" thickBot="1" x14ac:dyDescent="0.3">
      <c r="A92" s="697"/>
      <c r="B92" s="697"/>
      <c r="C92" s="6"/>
      <c r="D92" s="6"/>
      <c r="E92" s="698"/>
      <c r="F92" s="699"/>
      <c r="G92" s="698"/>
      <c r="H92" s="699"/>
      <c r="I92" s="6"/>
      <c r="J92" s="6"/>
    </row>
    <row r="93" spans="1:10" ht="15.75" thickBot="1" x14ac:dyDescent="0.3">
      <c r="A93" s="1088" t="s">
        <v>254</v>
      </c>
      <c r="B93" s="1089"/>
      <c r="C93" s="1090"/>
      <c r="D93" s="1090"/>
      <c r="E93" s="1091" t="s">
        <v>255</v>
      </c>
      <c r="F93" s="1092"/>
      <c r="G93" s="1093" t="s">
        <v>256</v>
      </c>
      <c r="H93" s="1094"/>
      <c r="I93" s="6"/>
      <c r="J93" s="6"/>
    </row>
    <row r="94" spans="1:10" x14ac:dyDescent="0.25">
      <c r="A94" s="688">
        <v>1100</v>
      </c>
      <c r="B94" s="846" t="s">
        <v>116</v>
      </c>
      <c r="C94" s="6"/>
      <c r="D94" s="6"/>
      <c r="E94" s="705">
        <v>246657</v>
      </c>
      <c r="F94" s="707">
        <f t="shared" ref="F94:F119" si="11">E94/E$120</f>
        <v>0.1743082635248491</v>
      </c>
      <c r="G94" s="708">
        <v>491973</v>
      </c>
      <c r="H94" s="707">
        <f t="shared" ref="H94:H119" si="12">G94/G$120</f>
        <v>0.25849779319041616</v>
      </c>
      <c r="I94" s="6"/>
      <c r="J94" s="6"/>
    </row>
    <row r="95" spans="1:10" x14ac:dyDescent="0.25">
      <c r="A95" s="690">
        <v>1200</v>
      </c>
      <c r="B95" s="847" t="s">
        <v>117</v>
      </c>
      <c r="C95" s="6"/>
      <c r="D95" s="6"/>
      <c r="E95" s="709">
        <v>24218</v>
      </c>
      <c r="F95" s="711">
        <f t="shared" si="11"/>
        <v>1.7114444455437288E-2</v>
      </c>
      <c r="G95" s="712">
        <v>24327</v>
      </c>
      <c r="H95" s="711">
        <f t="shared" si="12"/>
        <v>1.2782156368221942E-2</v>
      </c>
      <c r="I95" s="6"/>
      <c r="J95" s="6"/>
    </row>
    <row r="96" spans="1:10" x14ac:dyDescent="0.25">
      <c r="A96" s="690">
        <v>1300</v>
      </c>
      <c r="B96" s="847" t="s">
        <v>118</v>
      </c>
      <c r="C96" s="6"/>
      <c r="D96" s="6"/>
      <c r="E96" s="709">
        <v>37153</v>
      </c>
      <c r="F96" s="711">
        <f t="shared" si="11"/>
        <v>2.6255386689770482E-2</v>
      </c>
      <c r="G96" s="712">
        <v>24705</v>
      </c>
      <c r="H96" s="711">
        <f t="shared" si="12"/>
        <v>1.2980769230769231E-2</v>
      </c>
      <c r="I96" s="6"/>
      <c r="J96" s="6"/>
    </row>
    <row r="97" spans="1:10" x14ac:dyDescent="0.25">
      <c r="A97" s="690">
        <v>1400</v>
      </c>
      <c r="B97" s="847" t="s">
        <v>119</v>
      </c>
      <c r="C97" s="6"/>
      <c r="D97" s="6"/>
      <c r="E97" s="709">
        <v>232288</v>
      </c>
      <c r="F97" s="711">
        <f t="shared" si="11"/>
        <v>0.16415393813133275</v>
      </c>
      <c r="G97" s="712">
        <v>290733</v>
      </c>
      <c r="H97" s="711">
        <f t="shared" si="12"/>
        <v>0.15276008827238335</v>
      </c>
      <c r="I97" s="6"/>
      <c r="J97" s="6"/>
    </row>
    <row r="98" spans="1:10" x14ac:dyDescent="0.25">
      <c r="A98" s="690">
        <v>1500</v>
      </c>
      <c r="B98" s="847" t="s">
        <v>120</v>
      </c>
      <c r="C98" s="6"/>
      <c r="D98" s="6"/>
      <c r="E98" s="709">
        <v>131165</v>
      </c>
      <c r="F98" s="711">
        <f t="shared" si="11"/>
        <v>9.2692051655687169E-2</v>
      </c>
      <c r="G98" s="712">
        <v>71507</v>
      </c>
      <c r="H98" s="711">
        <f t="shared" si="12"/>
        <v>3.757198402690206E-2</v>
      </c>
      <c r="I98" s="6"/>
      <c r="J98" s="6"/>
    </row>
    <row r="99" spans="1:10" x14ac:dyDescent="0.25">
      <c r="A99" s="690">
        <v>1600</v>
      </c>
      <c r="B99" s="847" t="s">
        <v>121</v>
      </c>
      <c r="C99" s="6"/>
      <c r="D99" s="6"/>
      <c r="E99" s="709">
        <v>4977</v>
      </c>
      <c r="F99" s="711">
        <f t="shared" si="11"/>
        <v>3.5171603788385244E-3</v>
      </c>
      <c r="G99" s="712">
        <v>16460</v>
      </c>
      <c r="H99" s="711">
        <f t="shared" si="12"/>
        <v>8.6485918453131569E-3</v>
      </c>
      <c r="I99" s="6"/>
      <c r="J99" s="6"/>
    </row>
    <row r="100" spans="1:10" x14ac:dyDescent="0.25">
      <c r="A100" s="690">
        <v>1700</v>
      </c>
      <c r="B100" s="847" t="s">
        <v>122</v>
      </c>
      <c r="C100" s="6"/>
      <c r="D100" s="6"/>
      <c r="E100" s="709">
        <v>34472</v>
      </c>
      <c r="F100" s="711">
        <f t="shared" si="11"/>
        <v>2.4360770058131729E-2</v>
      </c>
      <c r="G100" s="712">
        <v>32467</v>
      </c>
      <c r="H100" s="711">
        <f t="shared" si="12"/>
        <v>1.7059163514081547E-2</v>
      </c>
      <c r="I100" s="6"/>
      <c r="J100" s="6"/>
    </row>
    <row r="101" spans="1:10" x14ac:dyDescent="0.25">
      <c r="A101" s="690">
        <v>1800</v>
      </c>
      <c r="B101" s="847" t="s">
        <v>123</v>
      </c>
      <c r="C101" s="6"/>
      <c r="D101" s="6"/>
      <c r="E101" s="709">
        <v>37636</v>
      </c>
      <c r="F101" s="711">
        <f t="shared" si="11"/>
        <v>2.6596714490248485E-2</v>
      </c>
      <c r="G101" s="712">
        <v>34666</v>
      </c>
      <c r="H101" s="711">
        <f t="shared" si="12"/>
        <v>1.8214585960487601E-2</v>
      </c>
      <c r="I101" s="6"/>
      <c r="J101" s="6"/>
    </row>
    <row r="102" spans="1:10" x14ac:dyDescent="0.25">
      <c r="A102" s="690">
        <v>1900</v>
      </c>
      <c r="B102" s="847" t="s">
        <v>124</v>
      </c>
      <c r="C102" s="6"/>
      <c r="D102" s="6"/>
      <c r="E102" s="709">
        <v>14022</v>
      </c>
      <c r="F102" s="711">
        <f t="shared" si="11"/>
        <v>9.9091064561128775E-3</v>
      </c>
      <c r="G102" s="712">
        <v>4426</v>
      </c>
      <c r="H102" s="711">
        <f t="shared" si="12"/>
        <v>2.3255569567044976E-3</v>
      </c>
      <c r="I102" s="6"/>
      <c r="J102" s="6"/>
    </row>
    <row r="103" spans="1:10" x14ac:dyDescent="0.25">
      <c r="A103" s="690">
        <v>2100</v>
      </c>
      <c r="B103" s="847" t="s">
        <v>125</v>
      </c>
      <c r="C103" s="6"/>
      <c r="D103" s="6"/>
      <c r="E103" s="709">
        <v>91061</v>
      </c>
      <c r="F103" s="711">
        <f t="shared" si="11"/>
        <v>6.4351243973762282E-2</v>
      </c>
      <c r="G103" s="712">
        <v>181255</v>
      </c>
      <c r="H103" s="711">
        <f t="shared" si="12"/>
        <v>9.5236969314838174E-2</v>
      </c>
      <c r="I103" s="6"/>
      <c r="J103" s="6"/>
    </row>
    <row r="104" spans="1:10" x14ac:dyDescent="0.25">
      <c r="A104" s="690">
        <v>2200</v>
      </c>
      <c r="B104" s="847" t="s">
        <v>126</v>
      </c>
      <c r="C104" s="6"/>
      <c r="D104" s="6"/>
      <c r="E104" s="709">
        <v>12657</v>
      </c>
      <c r="F104" s="711">
        <f t="shared" si="11"/>
        <v>8.9444844112837457E-3</v>
      </c>
      <c r="G104" s="712">
        <v>38059</v>
      </c>
      <c r="H104" s="711">
        <f t="shared" si="12"/>
        <v>1.99973728457335E-2</v>
      </c>
      <c r="I104" s="6"/>
      <c r="J104" s="6"/>
    </row>
    <row r="105" spans="1:10" x14ac:dyDescent="0.25">
      <c r="A105" s="690">
        <v>2300</v>
      </c>
      <c r="B105" s="847" t="s">
        <v>127</v>
      </c>
      <c r="C105" s="6"/>
      <c r="D105" s="6"/>
      <c r="E105" s="709">
        <v>52281</v>
      </c>
      <c r="F105" s="711">
        <f t="shared" si="11"/>
        <v>3.694608434118081E-2</v>
      </c>
      <c r="G105" s="712">
        <v>37891</v>
      </c>
      <c r="H105" s="711">
        <f t="shared" si="12"/>
        <v>1.9909100462379151E-2</v>
      </c>
      <c r="I105" s="6"/>
      <c r="J105" s="6"/>
    </row>
    <row r="106" spans="1:10" x14ac:dyDescent="0.25">
      <c r="A106" s="690">
        <v>2400</v>
      </c>
      <c r="B106" s="847" t="s">
        <v>128</v>
      </c>
      <c r="C106" s="6"/>
      <c r="D106" s="6"/>
      <c r="E106" s="709">
        <v>34487</v>
      </c>
      <c r="F106" s="711">
        <f t="shared" si="11"/>
        <v>2.4371370300382597E-2</v>
      </c>
      <c r="G106" s="712">
        <v>28558</v>
      </c>
      <c r="H106" s="711">
        <f t="shared" si="12"/>
        <v>1.5005254308532997E-2</v>
      </c>
      <c r="I106" s="6"/>
      <c r="J106" s="6"/>
    </row>
    <row r="107" spans="1:10" x14ac:dyDescent="0.25">
      <c r="A107" s="690">
        <v>2500</v>
      </c>
      <c r="B107" s="847" t="s">
        <v>129</v>
      </c>
      <c r="C107" s="6"/>
      <c r="D107" s="6"/>
      <c r="E107" s="709">
        <v>31278</v>
      </c>
      <c r="F107" s="711">
        <f t="shared" si="11"/>
        <v>2.2103625141513233E-2</v>
      </c>
      <c r="G107" s="712">
        <v>28776</v>
      </c>
      <c r="H107" s="711">
        <f t="shared" si="12"/>
        <v>1.5119798234552333E-2</v>
      </c>
      <c r="I107" s="6"/>
      <c r="J107" s="6"/>
    </row>
    <row r="108" spans="1:10" x14ac:dyDescent="0.25">
      <c r="A108" s="690">
        <v>2600</v>
      </c>
      <c r="B108" s="847" t="s">
        <v>130</v>
      </c>
      <c r="C108" s="6"/>
      <c r="D108" s="6"/>
      <c r="E108" s="709">
        <v>97454</v>
      </c>
      <c r="F108" s="711">
        <f t="shared" si="11"/>
        <v>6.8869067221082894E-2</v>
      </c>
      <c r="G108" s="712">
        <v>82245</v>
      </c>
      <c r="H108" s="711">
        <f t="shared" si="12"/>
        <v>4.32140605296343E-2</v>
      </c>
      <c r="I108" s="6"/>
      <c r="J108" s="6"/>
    </row>
    <row r="109" spans="1:10" x14ac:dyDescent="0.25">
      <c r="A109" s="690">
        <v>2700</v>
      </c>
      <c r="B109" s="847" t="s">
        <v>131</v>
      </c>
      <c r="C109" s="6"/>
      <c r="D109" s="6"/>
      <c r="E109" s="709">
        <v>39931</v>
      </c>
      <c r="F109" s="711">
        <f t="shared" si="11"/>
        <v>2.821855155463153E-2</v>
      </c>
      <c r="G109" s="712">
        <v>96729</v>
      </c>
      <c r="H109" s="711">
        <f t="shared" si="12"/>
        <v>5.0824401008827236E-2</v>
      </c>
      <c r="I109" s="6"/>
      <c r="J109" s="6"/>
    </row>
    <row r="110" spans="1:10" x14ac:dyDescent="0.25">
      <c r="A110" s="690">
        <v>2800</v>
      </c>
      <c r="B110" s="847" t="s">
        <v>132</v>
      </c>
      <c r="C110" s="6"/>
      <c r="D110" s="6"/>
      <c r="E110" s="709">
        <v>27786</v>
      </c>
      <c r="F110" s="711">
        <f t="shared" si="11"/>
        <v>1.9635888745510796E-2</v>
      </c>
      <c r="G110" s="712">
        <v>41032</v>
      </c>
      <c r="H110" s="711">
        <f t="shared" si="12"/>
        <v>2.1559478772593527E-2</v>
      </c>
      <c r="I110" s="6"/>
      <c r="J110" s="6"/>
    </row>
    <row r="111" spans="1:10" x14ac:dyDescent="0.25">
      <c r="A111" s="690">
        <v>3100</v>
      </c>
      <c r="B111" s="847" t="s">
        <v>133</v>
      </c>
      <c r="C111" s="6"/>
      <c r="D111" s="6"/>
      <c r="E111" s="709">
        <v>116641</v>
      </c>
      <c r="F111" s="711">
        <f t="shared" si="11"/>
        <v>8.2428190425578529E-2</v>
      </c>
      <c r="G111" s="712">
        <v>118142</v>
      </c>
      <c r="H111" s="711">
        <f t="shared" si="12"/>
        <v>6.2075451870533836E-2</v>
      </c>
      <c r="I111" s="6"/>
      <c r="J111" s="6"/>
    </row>
    <row r="112" spans="1:10" x14ac:dyDescent="0.25">
      <c r="A112" s="690">
        <v>4100</v>
      </c>
      <c r="B112" s="847" t="s">
        <v>134</v>
      </c>
      <c r="C112" s="6"/>
      <c r="D112" s="6"/>
      <c r="E112" s="709">
        <v>65095</v>
      </c>
      <c r="F112" s="711">
        <f t="shared" si="11"/>
        <v>4.6001517954690326E-2</v>
      </c>
      <c r="G112" s="712">
        <v>150594</v>
      </c>
      <c r="H112" s="711">
        <f t="shared" si="12"/>
        <v>7.9126733921815892E-2</v>
      </c>
      <c r="I112" s="6"/>
      <c r="J112" s="6"/>
    </row>
    <row r="113" spans="1:10" x14ac:dyDescent="0.25">
      <c r="A113" s="690">
        <v>4300</v>
      </c>
      <c r="B113" s="847" t="s">
        <v>135</v>
      </c>
      <c r="C113" s="6"/>
      <c r="D113" s="6"/>
      <c r="E113" s="709">
        <v>39395</v>
      </c>
      <c r="F113" s="711">
        <f t="shared" si="11"/>
        <v>2.7839769564867122E-2</v>
      </c>
      <c r="G113" s="712">
        <v>58861</v>
      </c>
      <c r="H113" s="711">
        <f t="shared" si="12"/>
        <v>3.0927385456073982E-2</v>
      </c>
      <c r="I113" s="6"/>
      <c r="J113" s="6"/>
    </row>
    <row r="114" spans="1:10" x14ac:dyDescent="0.25">
      <c r="A114" s="690">
        <v>5100</v>
      </c>
      <c r="B114" s="847" t="s">
        <v>136</v>
      </c>
      <c r="C114" s="6"/>
      <c r="D114" s="6"/>
      <c r="E114" s="709">
        <v>12810</v>
      </c>
      <c r="F114" s="711">
        <f t="shared" si="11"/>
        <v>9.0526068822426153E-3</v>
      </c>
      <c r="G114" s="712">
        <v>13038</v>
      </c>
      <c r="H114" s="711">
        <f t="shared" si="12"/>
        <v>6.8505674653215635E-3</v>
      </c>
      <c r="I114" s="6"/>
      <c r="J114" s="6"/>
    </row>
    <row r="115" spans="1:10" x14ac:dyDescent="0.25">
      <c r="A115" s="690">
        <v>5200</v>
      </c>
      <c r="B115" s="847" t="s">
        <v>137</v>
      </c>
      <c r="C115" s="6"/>
      <c r="D115" s="6"/>
      <c r="E115" s="709">
        <v>609</v>
      </c>
      <c r="F115" s="711">
        <f t="shared" si="11"/>
        <v>4.3036983538530466E-4</v>
      </c>
      <c r="G115" s="712">
        <v>5520</v>
      </c>
      <c r="H115" s="711">
        <f t="shared" si="12"/>
        <v>2.9003783102143758E-3</v>
      </c>
      <c r="I115" s="6"/>
      <c r="J115" s="6"/>
    </row>
    <row r="116" spans="1:10" x14ac:dyDescent="0.25">
      <c r="A116" s="690">
        <v>5300</v>
      </c>
      <c r="B116" s="847" t="s">
        <v>138</v>
      </c>
      <c r="C116" s="6"/>
      <c r="D116" s="6"/>
      <c r="E116" s="709">
        <v>9571</v>
      </c>
      <c r="F116" s="711">
        <f t="shared" si="11"/>
        <v>6.7636612388715127E-3</v>
      </c>
      <c r="G116" s="712">
        <v>9766</v>
      </c>
      <c r="H116" s="711">
        <f t="shared" si="12"/>
        <v>5.1313577133249265E-3</v>
      </c>
      <c r="I116" s="6"/>
      <c r="J116" s="6"/>
    </row>
    <row r="117" spans="1:10" x14ac:dyDescent="0.25">
      <c r="A117" s="690">
        <v>5400</v>
      </c>
      <c r="B117" s="847" t="s">
        <v>139</v>
      </c>
      <c r="C117" s="6"/>
      <c r="D117" s="6"/>
      <c r="E117" s="709">
        <v>8713</v>
      </c>
      <c r="F117" s="711">
        <f t="shared" si="11"/>
        <v>6.1573273821217724E-3</v>
      </c>
      <c r="G117" s="712">
        <v>4243</v>
      </c>
      <c r="H117" s="711">
        <f t="shared" si="12"/>
        <v>2.2294031105506516E-3</v>
      </c>
      <c r="I117" s="6"/>
      <c r="J117" s="6"/>
    </row>
    <row r="118" spans="1:10" x14ac:dyDescent="0.25">
      <c r="A118" s="690">
        <v>5500</v>
      </c>
      <c r="B118" s="847" t="s">
        <v>140</v>
      </c>
      <c r="C118" s="6"/>
      <c r="D118" s="6"/>
      <c r="E118" s="709">
        <v>5555</v>
      </c>
      <c r="F118" s="711">
        <f t="shared" si="11"/>
        <v>3.9256230469053655E-3</v>
      </c>
      <c r="G118" s="712">
        <v>3892</v>
      </c>
      <c r="H118" s="711">
        <f t="shared" si="12"/>
        <v>2.0449768810424547E-3</v>
      </c>
      <c r="I118" s="6"/>
      <c r="J118" s="6"/>
    </row>
    <row r="119" spans="1:10" ht="15" customHeight="1" thickBot="1" x14ac:dyDescent="0.3">
      <c r="A119" s="694">
        <v>5600</v>
      </c>
      <c r="B119" s="848" t="s">
        <v>141</v>
      </c>
      <c r="C119" s="6"/>
      <c r="D119" s="6"/>
      <c r="E119" s="713">
        <v>7150</v>
      </c>
      <c r="F119" s="715">
        <f t="shared" si="11"/>
        <v>5.0527821395811631E-3</v>
      </c>
      <c r="G119" s="716">
        <v>13335</v>
      </c>
      <c r="H119" s="715">
        <f t="shared" si="12"/>
        <v>7.0066204287515766E-3</v>
      </c>
      <c r="I119" s="6"/>
      <c r="J119" s="6"/>
    </row>
    <row r="120" spans="1:10" ht="15.75" thickBot="1" x14ac:dyDescent="0.3">
      <c r="A120" s="839">
        <v>2016</v>
      </c>
      <c r="B120" s="850" t="s">
        <v>257</v>
      </c>
      <c r="C120" s="6"/>
      <c r="D120" s="6"/>
      <c r="E120" s="717">
        <f>SUM(E94:E119)</f>
        <v>1415062</v>
      </c>
      <c r="F120" s="719">
        <f>SUM(F94:F119)</f>
        <v>1</v>
      </c>
      <c r="G120" s="720">
        <f>SUM(G94:G119)</f>
        <v>1903200</v>
      </c>
      <c r="H120" s="721">
        <f>SUM(H94:H119)</f>
        <v>1</v>
      </c>
      <c r="I120" s="6"/>
      <c r="J120" s="6"/>
    </row>
    <row r="121" spans="1:10" x14ac:dyDescent="0.25">
      <c r="A121" t="s">
        <v>259</v>
      </c>
    </row>
    <row r="123" spans="1:10" x14ac:dyDescent="0.25">
      <c r="A123" s="683" t="s">
        <v>2</v>
      </c>
    </row>
  </sheetData>
  <mergeCells count="19">
    <mergeCell ref="I5:J5"/>
    <mergeCell ref="A33:B33"/>
    <mergeCell ref="A35:B35"/>
    <mergeCell ref="C35:D35"/>
    <mergeCell ref="E35:F35"/>
    <mergeCell ref="G35:H35"/>
    <mergeCell ref="A6:B6"/>
    <mergeCell ref="A5:B5"/>
    <mergeCell ref="C5:D5"/>
    <mergeCell ref="E5:F5"/>
    <mergeCell ref="G5:H5"/>
    <mergeCell ref="A64:B64"/>
    <mergeCell ref="C64:D64"/>
    <mergeCell ref="E64:F64"/>
    <mergeCell ref="G64:H64"/>
    <mergeCell ref="A93:B93"/>
    <mergeCell ref="C93:D93"/>
    <mergeCell ref="E93:F93"/>
    <mergeCell ref="G93:H93"/>
  </mergeCells>
  <hyperlinks>
    <hyperlink ref="A123" location="'0 Seznam'!A1" display="Seznam"/>
  </hyperlinks>
  <pageMargins left="0.7" right="0.7" top="0.78740157499999996" bottom="0.78740157499999996" header="0.3" footer="0.3"/>
  <pageSetup paperSize="8" orientation="portrait" r:id="rId1"/>
  <headerFooter>
    <oddHeader xml:space="preserve">&amp;LČ. j.: MSMT-2019/2019-1
</oddHeader>
  </headerFooter>
  <ignoredErrors>
    <ignoredError sqref="J8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9"/>
  <sheetViews>
    <sheetView topLeftCell="A16" zoomScale="85" zoomScaleNormal="85" workbookViewId="0">
      <selection activeCell="A39" sqref="A39"/>
    </sheetView>
  </sheetViews>
  <sheetFormatPr defaultRowHeight="15" x14ac:dyDescent="0.25"/>
  <cols>
    <col min="1" max="1" width="11.140625" customWidth="1"/>
    <col min="2" max="2" width="61.85546875" customWidth="1"/>
    <col min="3" max="5" width="15.7109375" customWidth="1"/>
    <col min="7" max="7" width="14.5703125" customWidth="1"/>
  </cols>
  <sheetData>
    <row r="1" spans="1:7" ht="27.75" x14ac:dyDescent="0.25">
      <c r="A1" s="1105" t="s">
        <v>261</v>
      </c>
      <c r="B1" s="1105"/>
      <c r="C1" s="1105"/>
      <c r="D1" s="1105"/>
      <c r="E1" s="1105"/>
    </row>
    <row r="2" spans="1:7" ht="15.75" x14ac:dyDescent="0.25">
      <c r="A2" s="758"/>
      <c r="B2" s="758"/>
      <c r="C2" s="758"/>
      <c r="D2" s="758"/>
      <c r="E2" s="758"/>
    </row>
    <row r="3" spans="1:7" ht="45" customHeight="1" x14ac:dyDescent="0.25">
      <c r="A3" s="1106" t="s">
        <v>267</v>
      </c>
      <c r="B3" s="1106"/>
      <c r="C3" s="1106"/>
      <c r="D3" s="1106"/>
      <c r="E3" s="1106"/>
    </row>
    <row r="4" spans="1:7" x14ac:dyDescent="0.25">
      <c r="A4" s="759"/>
      <c r="B4" s="759"/>
      <c r="C4" s="759"/>
      <c r="D4" s="759"/>
      <c r="E4" s="759"/>
    </row>
    <row r="5" spans="1:7" x14ac:dyDescent="0.25">
      <c r="A5" s="760" t="s">
        <v>262</v>
      </c>
      <c r="B5" s="761"/>
      <c r="C5" s="761"/>
      <c r="D5" s="762"/>
      <c r="E5" s="763">
        <v>22000000</v>
      </c>
    </row>
    <row r="6" spans="1:7" x14ac:dyDescent="0.25">
      <c r="A6" s="760" t="s">
        <v>263</v>
      </c>
      <c r="B6" s="761"/>
      <c r="C6" s="761"/>
      <c r="D6" s="762"/>
      <c r="E6" s="764">
        <f>E5/D37</f>
        <v>20.95461351677535</v>
      </c>
    </row>
    <row r="7" spans="1:7" x14ac:dyDescent="0.25">
      <c r="A7" s="765"/>
      <c r="B7" s="765"/>
      <c r="C7" s="765"/>
      <c r="D7" s="765"/>
      <c r="E7" s="766"/>
    </row>
    <row r="8" spans="1:7" ht="15.75" thickBot="1" x14ac:dyDescent="0.3">
      <c r="A8" s="767"/>
      <c r="B8" s="767"/>
      <c r="C8" s="767"/>
      <c r="D8" s="767"/>
      <c r="E8" s="853" t="s">
        <v>33</v>
      </c>
    </row>
    <row r="9" spans="1:7" x14ac:dyDescent="0.25">
      <c r="A9" s="1107" t="s">
        <v>114</v>
      </c>
      <c r="B9" s="1109" t="s">
        <v>115</v>
      </c>
      <c r="C9" s="1111" t="s">
        <v>264</v>
      </c>
      <c r="D9" s="1112"/>
      <c r="E9" s="1113" t="s">
        <v>297</v>
      </c>
    </row>
    <row r="10" spans="1:7" ht="45.75" thickBot="1" x14ac:dyDescent="0.3">
      <c r="A10" s="1108"/>
      <c r="B10" s="1110"/>
      <c r="C10" s="768" t="s">
        <v>265</v>
      </c>
      <c r="D10" s="769" t="s">
        <v>266</v>
      </c>
      <c r="E10" s="1114"/>
    </row>
    <row r="11" spans="1:7" x14ac:dyDescent="0.25">
      <c r="A11" s="770">
        <v>11000</v>
      </c>
      <c r="B11" s="771" t="s">
        <v>116</v>
      </c>
      <c r="C11" s="772">
        <v>8566</v>
      </c>
      <c r="D11" s="773">
        <v>197793.4</v>
      </c>
      <c r="E11" s="774">
        <f>ROUND(E$5/D$37*D11,-3)</f>
        <v>4145000</v>
      </c>
      <c r="G11" s="393"/>
    </row>
    <row r="12" spans="1:7" x14ac:dyDescent="0.25">
      <c r="A12" s="775">
        <v>12000</v>
      </c>
      <c r="B12" s="776" t="s">
        <v>117</v>
      </c>
      <c r="C12" s="777">
        <v>1645</v>
      </c>
      <c r="D12" s="778">
        <v>39609</v>
      </c>
      <c r="E12" s="774">
        <f t="shared" ref="E12:E36" si="0">ROUND(E$5/D$37*D12,-3)</f>
        <v>830000</v>
      </c>
      <c r="G12" s="393"/>
    </row>
    <row r="13" spans="1:7" x14ac:dyDescent="0.25">
      <c r="A13" s="775">
        <v>13000</v>
      </c>
      <c r="B13" s="776" t="s">
        <v>118</v>
      </c>
      <c r="C13" s="777">
        <v>2828</v>
      </c>
      <c r="D13" s="778">
        <v>53318.96</v>
      </c>
      <c r="E13" s="774">
        <f t="shared" si="0"/>
        <v>1117000</v>
      </c>
      <c r="G13" s="393"/>
    </row>
    <row r="14" spans="1:7" x14ac:dyDescent="0.25">
      <c r="A14" s="775">
        <v>14000</v>
      </c>
      <c r="B14" s="776" t="s">
        <v>119</v>
      </c>
      <c r="C14" s="777">
        <v>5251</v>
      </c>
      <c r="D14" s="778">
        <v>68175.41</v>
      </c>
      <c r="E14" s="774">
        <f>ROUND(E$5/D$37*D14-100,-3)</f>
        <v>1428000</v>
      </c>
      <c r="G14" s="393"/>
    </row>
    <row r="15" spans="1:7" x14ac:dyDescent="0.25">
      <c r="A15" s="775">
        <v>15000</v>
      </c>
      <c r="B15" s="776" t="s">
        <v>120</v>
      </c>
      <c r="C15" s="777">
        <v>2688</v>
      </c>
      <c r="D15" s="778">
        <v>46486</v>
      </c>
      <c r="E15" s="774">
        <f t="shared" si="0"/>
        <v>974000</v>
      </c>
      <c r="G15" s="393"/>
    </row>
    <row r="16" spans="1:7" x14ac:dyDescent="0.25">
      <c r="A16" s="775">
        <v>16000</v>
      </c>
      <c r="B16" s="776" t="s">
        <v>121</v>
      </c>
      <c r="C16" s="777">
        <v>681</v>
      </c>
      <c r="D16" s="778">
        <v>7872.98</v>
      </c>
      <c r="E16" s="774">
        <f>ROUND(E$5/D$37*D16,-3)</f>
        <v>165000</v>
      </c>
      <c r="G16" s="393"/>
    </row>
    <row r="17" spans="1:7" x14ac:dyDescent="0.25">
      <c r="A17" s="775">
        <v>17000</v>
      </c>
      <c r="B17" s="776" t="s">
        <v>122</v>
      </c>
      <c r="C17" s="777">
        <v>1793</v>
      </c>
      <c r="D17" s="778">
        <v>47850.28</v>
      </c>
      <c r="E17" s="774">
        <f t="shared" si="0"/>
        <v>1003000</v>
      </c>
      <c r="G17" s="393"/>
    </row>
    <row r="18" spans="1:7" x14ac:dyDescent="0.25">
      <c r="A18" s="775">
        <v>18000</v>
      </c>
      <c r="B18" s="776" t="s">
        <v>123</v>
      </c>
      <c r="C18" s="777">
        <v>1574</v>
      </c>
      <c r="D18" s="778">
        <v>25995.38</v>
      </c>
      <c r="E18" s="774">
        <f t="shared" si="0"/>
        <v>545000</v>
      </c>
      <c r="G18" s="393"/>
    </row>
    <row r="19" spans="1:7" x14ac:dyDescent="0.25">
      <c r="A19" s="775">
        <v>19000</v>
      </c>
      <c r="B19" s="776" t="s">
        <v>124</v>
      </c>
      <c r="C19" s="777">
        <v>683</v>
      </c>
      <c r="D19" s="778">
        <v>27259.3</v>
      </c>
      <c r="E19" s="774">
        <f t="shared" si="0"/>
        <v>571000</v>
      </c>
      <c r="G19" s="393"/>
    </row>
    <row r="20" spans="1:7" x14ac:dyDescent="0.25">
      <c r="A20" s="775">
        <v>21000</v>
      </c>
      <c r="B20" s="776" t="s">
        <v>125</v>
      </c>
      <c r="C20" s="777">
        <v>1609</v>
      </c>
      <c r="D20" s="778">
        <v>49561.5</v>
      </c>
      <c r="E20" s="774">
        <f>ROUND(E$5/D$37*D20-100,-3)</f>
        <v>1038000</v>
      </c>
      <c r="G20" s="393"/>
    </row>
    <row r="21" spans="1:7" x14ac:dyDescent="0.25">
      <c r="A21" s="775">
        <v>22000</v>
      </c>
      <c r="B21" s="776" t="s">
        <v>126</v>
      </c>
      <c r="C21" s="777">
        <v>438</v>
      </c>
      <c r="D21" s="778">
        <v>15922.86</v>
      </c>
      <c r="E21" s="774">
        <f t="shared" si="0"/>
        <v>334000</v>
      </c>
      <c r="G21" s="393"/>
    </row>
    <row r="22" spans="1:7" x14ac:dyDescent="0.25">
      <c r="A22" s="775">
        <v>23000</v>
      </c>
      <c r="B22" s="776" t="s">
        <v>127</v>
      </c>
      <c r="C22" s="777">
        <v>4433</v>
      </c>
      <c r="D22" s="778">
        <v>74897.3</v>
      </c>
      <c r="E22" s="774">
        <f t="shared" si="0"/>
        <v>1569000</v>
      </c>
      <c r="G22" s="393"/>
    </row>
    <row r="23" spans="1:7" x14ac:dyDescent="0.25">
      <c r="A23" s="775">
        <v>24000</v>
      </c>
      <c r="B23" s="776" t="s">
        <v>128</v>
      </c>
      <c r="C23" s="777">
        <v>1386</v>
      </c>
      <c r="D23" s="778">
        <v>43134.9</v>
      </c>
      <c r="E23" s="774">
        <f t="shared" si="0"/>
        <v>904000</v>
      </c>
      <c r="G23" s="393"/>
    </row>
    <row r="24" spans="1:7" x14ac:dyDescent="0.25">
      <c r="A24" s="775">
        <v>25000</v>
      </c>
      <c r="B24" s="776" t="s">
        <v>129</v>
      </c>
      <c r="C24" s="777">
        <v>826</v>
      </c>
      <c r="D24" s="778">
        <v>17355.62</v>
      </c>
      <c r="E24" s="774">
        <f t="shared" si="0"/>
        <v>364000</v>
      </c>
      <c r="G24" s="393"/>
    </row>
    <row r="25" spans="1:7" x14ac:dyDescent="0.25">
      <c r="A25" s="775">
        <v>26000</v>
      </c>
      <c r="B25" s="776" t="s">
        <v>130</v>
      </c>
      <c r="C25" s="777">
        <v>3058</v>
      </c>
      <c r="D25" s="778">
        <v>53785.75</v>
      </c>
      <c r="E25" s="774">
        <f t="shared" si="0"/>
        <v>1127000</v>
      </c>
      <c r="G25" s="393"/>
    </row>
    <row r="26" spans="1:7" x14ac:dyDescent="0.25">
      <c r="A26" s="775">
        <v>27000</v>
      </c>
      <c r="B26" s="776" t="s">
        <v>131</v>
      </c>
      <c r="C26" s="777">
        <v>768</v>
      </c>
      <c r="D26" s="778">
        <v>19282</v>
      </c>
      <c r="E26" s="774">
        <f>ROUND(E$5/D$37*D26,-3)</f>
        <v>404000</v>
      </c>
      <c r="G26" s="393"/>
    </row>
    <row r="27" spans="1:7" x14ac:dyDescent="0.25">
      <c r="A27" s="775">
        <v>28000</v>
      </c>
      <c r="B27" s="776" t="s">
        <v>132</v>
      </c>
      <c r="C27" s="777">
        <v>1006</v>
      </c>
      <c r="D27" s="778">
        <v>27428.240000000002</v>
      </c>
      <c r="E27" s="774">
        <f t="shared" si="0"/>
        <v>575000</v>
      </c>
      <c r="G27" s="393"/>
    </row>
    <row r="28" spans="1:7" x14ac:dyDescent="0.25">
      <c r="A28" s="775">
        <v>31000</v>
      </c>
      <c r="B28" s="776" t="s">
        <v>133</v>
      </c>
      <c r="C28" s="777">
        <v>4089</v>
      </c>
      <c r="D28" s="778">
        <v>103998.54</v>
      </c>
      <c r="E28" s="774">
        <f t="shared" si="0"/>
        <v>2179000</v>
      </c>
      <c r="G28" s="393"/>
    </row>
    <row r="29" spans="1:7" x14ac:dyDescent="0.25">
      <c r="A29" s="775">
        <v>41000</v>
      </c>
      <c r="B29" s="776" t="s">
        <v>134</v>
      </c>
      <c r="C29" s="777">
        <v>11963</v>
      </c>
      <c r="D29" s="778">
        <v>34930.660000000003</v>
      </c>
      <c r="E29" s="774">
        <f t="shared" si="0"/>
        <v>732000</v>
      </c>
      <c r="G29" s="393"/>
    </row>
    <row r="30" spans="1:7" x14ac:dyDescent="0.25">
      <c r="A30" s="775">
        <v>43000</v>
      </c>
      <c r="B30" s="776" t="s">
        <v>135</v>
      </c>
      <c r="C30" s="777">
        <v>1336</v>
      </c>
      <c r="D30" s="778">
        <v>62273</v>
      </c>
      <c r="E30" s="774">
        <f>ROUND(E$5/D$37*D30,-3)</f>
        <v>1305000</v>
      </c>
      <c r="G30" s="393"/>
    </row>
    <row r="31" spans="1:7" x14ac:dyDescent="0.25">
      <c r="A31" s="775">
        <v>51000</v>
      </c>
      <c r="B31" s="776" t="s">
        <v>136</v>
      </c>
      <c r="C31" s="779">
        <v>0</v>
      </c>
      <c r="D31" s="780">
        <v>0</v>
      </c>
      <c r="E31" s="781">
        <f t="shared" si="0"/>
        <v>0</v>
      </c>
      <c r="G31" s="393"/>
    </row>
    <row r="32" spans="1:7" x14ac:dyDescent="0.25">
      <c r="A32" s="775">
        <v>52000</v>
      </c>
      <c r="B32" s="776" t="s">
        <v>137</v>
      </c>
      <c r="C32" s="779">
        <v>0</v>
      </c>
      <c r="D32" s="780">
        <v>0</v>
      </c>
      <c r="E32" s="781">
        <f t="shared" si="0"/>
        <v>0</v>
      </c>
      <c r="G32" s="393"/>
    </row>
    <row r="33" spans="1:7" x14ac:dyDescent="0.25">
      <c r="A33" s="775">
        <v>53000</v>
      </c>
      <c r="B33" s="776" t="s">
        <v>138</v>
      </c>
      <c r="C33" s="779">
        <v>0</v>
      </c>
      <c r="D33" s="780">
        <v>0</v>
      </c>
      <c r="E33" s="781">
        <f t="shared" si="0"/>
        <v>0</v>
      </c>
      <c r="G33" s="393"/>
    </row>
    <row r="34" spans="1:7" x14ac:dyDescent="0.25">
      <c r="A34" s="775">
        <v>54000</v>
      </c>
      <c r="B34" s="776" t="s">
        <v>139</v>
      </c>
      <c r="C34" s="779">
        <v>367</v>
      </c>
      <c r="D34" s="780">
        <v>7331.1</v>
      </c>
      <c r="E34" s="774">
        <f t="shared" si="0"/>
        <v>154000</v>
      </c>
      <c r="G34" s="393"/>
    </row>
    <row r="35" spans="1:7" x14ac:dyDescent="0.25">
      <c r="A35" s="775">
        <v>55000</v>
      </c>
      <c r="B35" s="776" t="s">
        <v>140</v>
      </c>
      <c r="C35" s="777">
        <v>968</v>
      </c>
      <c r="D35" s="778">
        <v>25625.95</v>
      </c>
      <c r="E35" s="774">
        <f t="shared" si="0"/>
        <v>537000</v>
      </c>
      <c r="G35" s="393"/>
    </row>
    <row r="36" spans="1:7" ht="15.75" thickBot="1" x14ac:dyDescent="0.3">
      <c r="A36" s="782">
        <v>56000</v>
      </c>
      <c r="B36" s="783" t="s">
        <v>141</v>
      </c>
      <c r="C36" s="784">
        <v>0</v>
      </c>
      <c r="D36" s="785">
        <v>0</v>
      </c>
      <c r="E36" s="781">
        <f t="shared" si="0"/>
        <v>0</v>
      </c>
      <c r="G36" s="393"/>
    </row>
    <row r="37" spans="1:7" ht="15.75" thickBot="1" x14ac:dyDescent="0.3">
      <c r="A37" s="786"/>
      <c r="B37" s="787" t="s">
        <v>142</v>
      </c>
      <c r="C37" s="788">
        <f>SUM(C11:C36)</f>
        <v>57956</v>
      </c>
      <c r="D37" s="789">
        <f>SUM(D11:D36)</f>
        <v>1049888.1300000001</v>
      </c>
      <c r="E37" s="790">
        <f>SUM(E11:E36)</f>
        <v>22000000</v>
      </c>
    </row>
    <row r="39" spans="1:7" x14ac:dyDescent="0.25">
      <c r="A39" s="683" t="s">
        <v>2</v>
      </c>
    </row>
  </sheetData>
  <mergeCells count="6">
    <mergeCell ref="A1:E1"/>
    <mergeCell ref="A3:E3"/>
    <mergeCell ref="A9:A10"/>
    <mergeCell ref="B9:B10"/>
    <mergeCell ref="C9:D9"/>
    <mergeCell ref="E9:E10"/>
  </mergeCells>
  <hyperlinks>
    <hyperlink ref="A39" location="'0 Seznam'!A1" display="Seznam"/>
  </hyperlinks>
  <pageMargins left="0.7" right="0.7" top="0.78740157499999996" bottom="0.78740157499999996" header="0.3" footer="0.3"/>
  <pageSetup paperSize="9" orientation="portrait" r:id="rId1"/>
  <headerFooter>
    <oddHeader xml:space="preserve">&amp;LČ. j.: MSMT-2019/2019-1
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1"/>
  <sheetViews>
    <sheetView topLeftCell="A16" zoomScale="85" zoomScaleNormal="85" workbookViewId="0">
      <selection activeCell="A41" sqref="A41"/>
    </sheetView>
  </sheetViews>
  <sheetFormatPr defaultRowHeight="15" x14ac:dyDescent="0.25"/>
  <cols>
    <col min="1" max="1" width="10.85546875" customWidth="1"/>
    <col min="2" max="2" width="58.5703125" customWidth="1"/>
    <col min="3" max="5" width="15.7109375" customWidth="1"/>
  </cols>
  <sheetData>
    <row r="1" spans="1:10" ht="27.75" x14ac:dyDescent="0.25">
      <c r="A1" s="1105" t="s">
        <v>268</v>
      </c>
      <c r="B1" s="1105"/>
      <c r="C1" s="1105"/>
      <c r="D1" s="1105"/>
      <c r="E1" s="1105"/>
    </row>
    <row r="2" spans="1:10" ht="15.75" x14ac:dyDescent="0.25">
      <c r="A2" s="758"/>
      <c r="B2" s="758"/>
      <c r="C2" s="758"/>
      <c r="D2" s="758"/>
      <c r="E2" s="758"/>
    </row>
    <row r="3" spans="1:10" ht="44.25" customHeight="1" x14ac:dyDescent="0.25">
      <c r="A3" s="1106" t="s">
        <v>295</v>
      </c>
      <c r="B3" s="1106"/>
      <c r="C3" s="1106"/>
      <c r="D3" s="1106"/>
      <c r="E3" s="1106"/>
    </row>
    <row r="4" spans="1:10" x14ac:dyDescent="0.25">
      <c r="A4" s="791"/>
      <c r="B4" s="791"/>
      <c r="C4" s="791"/>
      <c r="D4" s="791"/>
      <c r="E4" s="791"/>
    </row>
    <row r="5" spans="1:10" x14ac:dyDescent="0.25">
      <c r="A5" s="792" t="s">
        <v>269</v>
      </c>
      <c r="B5" s="802"/>
      <c r="C5" s="802"/>
      <c r="D5" s="815"/>
      <c r="E5" s="823">
        <v>86690000</v>
      </c>
    </row>
    <row r="6" spans="1:10" x14ac:dyDescent="0.25">
      <c r="A6" s="792" t="s">
        <v>270</v>
      </c>
      <c r="B6" s="802"/>
      <c r="C6" s="802"/>
      <c r="D6" s="815"/>
      <c r="E6" s="834">
        <f>E37/D37</f>
        <v>0.88758449087138958</v>
      </c>
    </row>
    <row r="7" spans="1:10" ht="27.75" x14ac:dyDescent="0.25">
      <c r="A7" s="793"/>
      <c r="B7" s="803"/>
      <c r="C7" s="793"/>
      <c r="D7" s="816"/>
      <c r="E7" s="804"/>
    </row>
    <row r="8" spans="1:10" ht="15.75" thickBot="1" x14ac:dyDescent="0.3">
      <c r="A8" s="794"/>
      <c r="B8" s="804"/>
      <c r="C8" s="804"/>
      <c r="D8" s="804"/>
      <c r="E8" s="824"/>
    </row>
    <row r="9" spans="1:10" x14ac:dyDescent="0.25">
      <c r="A9" s="1115" t="s">
        <v>114</v>
      </c>
      <c r="B9" s="1117" t="s">
        <v>115</v>
      </c>
      <c r="C9" s="1119" t="s">
        <v>264</v>
      </c>
      <c r="D9" s="1120"/>
      <c r="E9" s="1121" t="s">
        <v>273</v>
      </c>
    </row>
    <row r="10" spans="1:10" ht="45.75" thickBot="1" x14ac:dyDescent="0.3">
      <c r="A10" s="1116"/>
      <c r="B10" s="1118"/>
      <c r="C10" s="808" t="s">
        <v>271</v>
      </c>
      <c r="D10" s="817" t="s">
        <v>272</v>
      </c>
      <c r="E10" s="1122"/>
    </row>
    <row r="11" spans="1:10" x14ac:dyDescent="0.25">
      <c r="A11" s="795">
        <v>11000</v>
      </c>
      <c r="B11" s="805" t="s">
        <v>116</v>
      </c>
      <c r="C11" s="809">
        <v>530</v>
      </c>
      <c r="D11" s="818">
        <v>22635100</v>
      </c>
      <c r="E11" s="831">
        <f>ROUND(+D11/$D$37*$E$5,-3)</f>
        <v>20091000</v>
      </c>
      <c r="J11" s="393"/>
    </row>
    <row r="12" spans="1:10" x14ac:dyDescent="0.25">
      <c r="A12" s="796">
        <v>12000</v>
      </c>
      <c r="B12" s="806" t="s">
        <v>117</v>
      </c>
      <c r="C12" s="810">
        <v>96</v>
      </c>
      <c r="D12" s="819">
        <v>3883500</v>
      </c>
      <c r="E12" s="832">
        <f t="shared" ref="E12:E36" si="0">ROUND(+D12/$D$37*$E$5,-3)</f>
        <v>3447000</v>
      </c>
    </row>
    <row r="13" spans="1:10" x14ac:dyDescent="0.25">
      <c r="A13" s="796">
        <v>13000</v>
      </c>
      <c r="B13" s="806" t="s">
        <v>118</v>
      </c>
      <c r="C13" s="810">
        <v>68</v>
      </c>
      <c r="D13" s="819">
        <v>2550000</v>
      </c>
      <c r="E13" s="832">
        <f t="shared" si="0"/>
        <v>2263000</v>
      </c>
    </row>
    <row r="14" spans="1:10" x14ac:dyDescent="0.25">
      <c r="A14" s="796">
        <v>14000</v>
      </c>
      <c r="B14" s="806" t="s">
        <v>119</v>
      </c>
      <c r="C14" s="810">
        <v>378</v>
      </c>
      <c r="D14" s="819">
        <v>19079975</v>
      </c>
      <c r="E14" s="832">
        <f t="shared" si="0"/>
        <v>16935000</v>
      </c>
    </row>
    <row r="15" spans="1:10" x14ac:dyDescent="0.25">
      <c r="A15" s="796">
        <v>15000</v>
      </c>
      <c r="B15" s="806" t="s">
        <v>120</v>
      </c>
      <c r="C15" s="810">
        <v>182</v>
      </c>
      <c r="D15" s="819">
        <v>10390200</v>
      </c>
      <c r="E15" s="832">
        <f>ROUND(+D15/$D$37*$E$5,-3)</f>
        <v>9222000</v>
      </c>
    </row>
    <row r="16" spans="1:10" x14ac:dyDescent="0.25">
      <c r="A16" s="796">
        <v>16000</v>
      </c>
      <c r="B16" s="806" t="s">
        <v>121</v>
      </c>
      <c r="C16" s="810">
        <v>0</v>
      </c>
      <c r="D16" s="819">
        <v>0</v>
      </c>
      <c r="E16" s="832">
        <f t="shared" si="0"/>
        <v>0</v>
      </c>
    </row>
    <row r="17" spans="1:5" x14ac:dyDescent="0.25">
      <c r="A17" s="796">
        <v>17000</v>
      </c>
      <c r="B17" s="806" t="s">
        <v>122</v>
      </c>
      <c r="C17" s="810">
        <v>63</v>
      </c>
      <c r="D17" s="819">
        <v>2457600</v>
      </c>
      <c r="E17" s="832">
        <f t="shared" si="0"/>
        <v>2181000</v>
      </c>
    </row>
    <row r="18" spans="1:5" x14ac:dyDescent="0.25">
      <c r="A18" s="796">
        <v>18000</v>
      </c>
      <c r="B18" s="806" t="s">
        <v>123</v>
      </c>
      <c r="C18" s="810">
        <v>86</v>
      </c>
      <c r="D18" s="819">
        <v>3131650</v>
      </c>
      <c r="E18" s="832">
        <f t="shared" si="0"/>
        <v>2780000</v>
      </c>
    </row>
    <row r="19" spans="1:5" x14ac:dyDescent="0.25">
      <c r="A19" s="796">
        <v>19000</v>
      </c>
      <c r="B19" s="806" t="s">
        <v>124</v>
      </c>
      <c r="C19" s="810">
        <v>36</v>
      </c>
      <c r="D19" s="819">
        <v>1249300</v>
      </c>
      <c r="E19" s="832">
        <f t="shared" si="0"/>
        <v>1109000</v>
      </c>
    </row>
    <row r="20" spans="1:5" x14ac:dyDescent="0.25">
      <c r="A20" s="796">
        <v>21000</v>
      </c>
      <c r="B20" s="806" t="s">
        <v>125</v>
      </c>
      <c r="C20" s="810">
        <v>86</v>
      </c>
      <c r="D20" s="819">
        <v>2742000</v>
      </c>
      <c r="E20" s="832">
        <f t="shared" si="0"/>
        <v>2434000</v>
      </c>
    </row>
    <row r="21" spans="1:5" x14ac:dyDescent="0.25">
      <c r="A21" s="796">
        <v>22000</v>
      </c>
      <c r="B21" s="806" t="s">
        <v>126</v>
      </c>
      <c r="C21" s="810">
        <v>8</v>
      </c>
      <c r="D21" s="819">
        <v>262000</v>
      </c>
      <c r="E21" s="832">
        <f>ROUND(+D21/$D$37*$E$5-100,-3)</f>
        <v>232000</v>
      </c>
    </row>
    <row r="22" spans="1:5" x14ac:dyDescent="0.25">
      <c r="A22" s="796">
        <v>23000</v>
      </c>
      <c r="B22" s="806" t="s">
        <v>127</v>
      </c>
      <c r="C22" s="810">
        <v>122</v>
      </c>
      <c r="D22" s="819">
        <v>3784450</v>
      </c>
      <c r="E22" s="832">
        <f t="shared" si="0"/>
        <v>3359000</v>
      </c>
    </row>
    <row r="23" spans="1:5" x14ac:dyDescent="0.25">
      <c r="A23" s="796">
        <v>24000</v>
      </c>
      <c r="B23" s="806" t="s">
        <v>128</v>
      </c>
      <c r="C23" s="810">
        <v>47</v>
      </c>
      <c r="D23" s="819">
        <v>2234400</v>
      </c>
      <c r="E23" s="832">
        <f t="shared" si="0"/>
        <v>1983000</v>
      </c>
    </row>
    <row r="24" spans="1:5" x14ac:dyDescent="0.25">
      <c r="A24" s="796">
        <v>25000</v>
      </c>
      <c r="B24" s="806" t="s">
        <v>129</v>
      </c>
      <c r="C24" s="810">
        <v>68</v>
      </c>
      <c r="D24" s="819">
        <v>3935800</v>
      </c>
      <c r="E24" s="832">
        <f t="shared" si="0"/>
        <v>3493000</v>
      </c>
    </row>
    <row r="25" spans="1:5" x14ac:dyDescent="0.25">
      <c r="A25" s="796">
        <v>26000</v>
      </c>
      <c r="B25" s="806" t="s">
        <v>130</v>
      </c>
      <c r="C25" s="810">
        <v>144</v>
      </c>
      <c r="D25" s="819">
        <v>4338800</v>
      </c>
      <c r="E25" s="832">
        <f t="shared" si="0"/>
        <v>3851000</v>
      </c>
    </row>
    <row r="26" spans="1:5" x14ac:dyDescent="0.25">
      <c r="A26" s="796">
        <v>27000</v>
      </c>
      <c r="B26" s="806" t="s">
        <v>131</v>
      </c>
      <c r="C26" s="810">
        <v>48</v>
      </c>
      <c r="D26" s="819">
        <v>1447500</v>
      </c>
      <c r="E26" s="832">
        <f t="shared" si="0"/>
        <v>1285000</v>
      </c>
    </row>
    <row r="27" spans="1:5" x14ac:dyDescent="0.25">
      <c r="A27" s="796">
        <v>28000</v>
      </c>
      <c r="B27" s="806" t="s">
        <v>132</v>
      </c>
      <c r="C27" s="810">
        <v>62</v>
      </c>
      <c r="D27" s="819">
        <v>2781400</v>
      </c>
      <c r="E27" s="832">
        <f t="shared" si="0"/>
        <v>2469000</v>
      </c>
    </row>
    <row r="28" spans="1:5" x14ac:dyDescent="0.25">
      <c r="A28" s="796">
        <v>31000</v>
      </c>
      <c r="B28" s="806" t="s">
        <v>133</v>
      </c>
      <c r="C28" s="810">
        <v>44</v>
      </c>
      <c r="D28" s="819">
        <v>1457000</v>
      </c>
      <c r="E28" s="832">
        <f t="shared" si="0"/>
        <v>1293000</v>
      </c>
    </row>
    <row r="29" spans="1:5" x14ac:dyDescent="0.25">
      <c r="A29" s="796">
        <v>41000</v>
      </c>
      <c r="B29" s="806" t="s">
        <v>134</v>
      </c>
      <c r="C29" s="810">
        <v>195</v>
      </c>
      <c r="D29" s="819">
        <v>6682000</v>
      </c>
      <c r="E29" s="832">
        <f t="shared" si="0"/>
        <v>5931000</v>
      </c>
    </row>
    <row r="30" spans="1:5" x14ac:dyDescent="0.25">
      <c r="A30" s="796">
        <v>43000</v>
      </c>
      <c r="B30" s="806" t="s">
        <v>135</v>
      </c>
      <c r="C30" s="810">
        <v>47</v>
      </c>
      <c r="D30" s="819">
        <v>1167000</v>
      </c>
      <c r="E30" s="832">
        <f t="shared" si="0"/>
        <v>1036000</v>
      </c>
    </row>
    <row r="31" spans="1:5" x14ac:dyDescent="0.25">
      <c r="A31" s="796">
        <v>51000</v>
      </c>
      <c r="B31" s="806" t="s">
        <v>136</v>
      </c>
      <c r="C31" s="810">
        <v>0</v>
      </c>
      <c r="D31" s="819">
        <v>0</v>
      </c>
      <c r="E31" s="832">
        <f t="shared" si="0"/>
        <v>0</v>
      </c>
    </row>
    <row r="32" spans="1:5" x14ac:dyDescent="0.25">
      <c r="A32" s="796">
        <v>52000</v>
      </c>
      <c r="B32" s="806" t="s">
        <v>137</v>
      </c>
      <c r="C32" s="810">
        <v>0</v>
      </c>
      <c r="D32" s="819">
        <v>0</v>
      </c>
      <c r="E32" s="832">
        <f t="shared" si="0"/>
        <v>0</v>
      </c>
    </row>
    <row r="33" spans="1:5" x14ac:dyDescent="0.25">
      <c r="A33" s="796">
        <v>53000</v>
      </c>
      <c r="B33" s="806" t="s">
        <v>138</v>
      </c>
      <c r="C33" s="810">
        <v>0</v>
      </c>
      <c r="D33" s="819">
        <v>0</v>
      </c>
      <c r="E33" s="832">
        <f t="shared" si="0"/>
        <v>0</v>
      </c>
    </row>
    <row r="34" spans="1:5" x14ac:dyDescent="0.25">
      <c r="A34" s="796">
        <v>54000</v>
      </c>
      <c r="B34" s="806" t="s">
        <v>139</v>
      </c>
      <c r="C34" s="810">
        <v>3</v>
      </c>
      <c r="D34" s="819">
        <v>370000</v>
      </c>
      <c r="E34" s="832">
        <f t="shared" si="0"/>
        <v>328000</v>
      </c>
    </row>
    <row r="35" spans="1:5" x14ac:dyDescent="0.25">
      <c r="A35" s="796">
        <v>55000</v>
      </c>
      <c r="B35" s="806" t="s">
        <v>140</v>
      </c>
      <c r="C35" s="810">
        <v>9</v>
      </c>
      <c r="D35" s="819">
        <v>420000</v>
      </c>
      <c r="E35" s="832">
        <f t="shared" si="0"/>
        <v>373000</v>
      </c>
    </row>
    <row r="36" spans="1:5" ht="15.75" thickBot="1" x14ac:dyDescent="0.3">
      <c r="A36" s="797">
        <v>56000</v>
      </c>
      <c r="B36" s="676" t="s">
        <v>141</v>
      </c>
      <c r="C36" s="811">
        <v>15</v>
      </c>
      <c r="D36" s="820">
        <v>669900</v>
      </c>
      <c r="E36" s="833">
        <f t="shared" si="0"/>
        <v>595000</v>
      </c>
    </row>
    <row r="37" spans="1:5" ht="15.75" thickBot="1" x14ac:dyDescent="0.3">
      <c r="A37" s="798"/>
      <c r="B37" s="807" t="s">
        <v>142</v>
      </c>
      <c r="C37" s="812">
        <f>SUM(C11:C36)</f>
        <v>2337</v>
      </c>
      <c r="D37" s="821">
        <f>SUM(D11:D36)</f>
        <v>97669575</v>
      </c>
      <c r="E37" s="825">
        <f>SUM(E11:E36)</f>
        <v>86690000</v>
      </c>
    </row>
    <row r="38" spans="1:5" x14ac:dyDescent="0.25">
      <c r="A38" s="799"/>
      <c r="B38" s="799"/>
      <c r="C38" s="813"/>
      <c r="D38" s="822"/>
      <c r="E38" s="822"/>
    </row>
    <row r="39" spans="1:5" x14ac:dyDescent="0.25">
      <c r="A39" s="800"/>
      <c r="B39" s="800" t="s">
        <v>296</v>
      </c>
      <c r="C39" s="800"/>
      <c r="D39" s="800"/>
      <c r="E39" s="800"/>
    </row>
    <row r="40" spans="1:5" x14ac:dyDescent="0.25">
      <c r="A40" s="800"/>
      <c r="B40" s="800"/>
      <c r="C40" s="800"/>
      <c r="D40" s="800"/>
      <c r="E40" s="800"/>
    </row>
    <row r="41" spans="1:5" x14ac:dyDescent="0.25">
      <c r="A41" s="801" t="s">
        <v>2</v>
      </c>
      <c r="B41" s="800"/>
      <c r="C41" s="814"/>
      <c r="D41" s="800"/>
      <c r="E41" s="800"/>
    </row>
  </sheetData>
  <mergeCells count="6">
    <mergeCell ref="A9:A10"/>
    <mergeCell ref="B9:B10"/>
    <mergeCell ref="C9:D9"/>
    <mergeCell ref="E9:E10"/>
    <mergeCell ref="A1:E1"/>
    <mergeCell ref="A3:E3"/>
  </mergeCells>
  <hyperlinks>
    <hyperlink ref="A41" location="'0 Seznam'!A1" display="'0 Seznam'!A1"/>
  </hyperlinks>
  <pageMargins left="0.7" right="0.7" top="0.78740157499999996" bottom="0.78740157499999996" header="0.3" footer="0.3"/>
  <pageSetup paperSize="9" orientation="portrait" r:id="rId1"/>
  <headerFooter>
    <oddHeader xml:space="preserve">&amp;LČ. j.: MSMT-2019/2019-1
</oddHeader>
  </headerFooter>
  <ignoredErrors>
    <ignoredError sqref="E2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3"/>
  <sheetViews>
    <sheetView showGridLines="0" zoomScale="70" zoomScaleNormal="70" workbookViewId="0">
      <selection activeCell="A73" sqref="A73"/>
    </sheetView>
  </sheetViews>
  <sheetFormatPr defaultRowHeight="15" x14ac:dyDescent="0.25"/>
  <cols>
    <col min="1" max="2" width="4.85546875" bestFit="1" customWidth="1"/>
    <col min="3" max="3" width="7.28515625" customWidth="1"/>
    <col min="4" max="4" width="17.140625" customWidth="1"/>
    <col min="5" max="9" width="23.28515625" customWidth="1"/>
    <col min="10" max="10" width="21" customWidth="1"/>
    <col min="11" max="11" width="18.7109375" customWidth="1"/>
    <col min="12" max="12" width="22.7109375" customWidth="1"/>
    <col min="13" max="14" width="19.42578125" customWidth="1"/>
    <col min="15" max="15" width="22.28515625" customWidth="1"/>
    <col min="16" max="17" width="19.42578125" customWidth="1"/>
  </cols>
  <sheetData>
    <row r="1" spans="1:17" ht="27.75" x14ac:dyDescent="0.25">
      <c r="A1" s="933" t="s">
        <v>31</v>
      </c>
      <c r="B1" s="933"/>
      <c r="C1" s="933"/>
      <c r="D1" s="933"/>
      <c r="E1" s="933"/>
      <c r="F1" s="933"/>
      <c r="G1" s="933"/>
      <c r="H1" s="933"/>
      <c r="I1" s="933"/>
      <c r="J1" s="933"/>
      <c r="K1" s="933"/>
      <c r="L1" s="933"/>
      <c r="M1" s="933"/>
      <c r="N1" s="933"/>
      <c r="O1" s="933"/>
      <c r="P1" s="933"/>
      <c r="Q1" s="933"/>
    </row>
    <row r="2" spans="1:17" x14ac:dyDescent="0.25">
      <c r="A2" s="7" t="s">
        <v>32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9"/>
      <c r="Q2" s="9"/>
    </row>
    <row r="3" spans="1:17" ht="15.75" thickBot="1" x14ac:dyDescent="0.3">
      <c r="A3" s="9"/>
      <c r="B3" s="9"/>
      <c r="C3" s="8"/>
      <c r="D3" s="8"/>
      <c r="E3" s="8"/>
      <c r="F3" s="8"/>
      <c r="G3" s="8"/>
      <c r="H3" s="8"/>
      <c r="I3" s="8"/>
      <c r="J3" s="10"/>
      <c r="K3" s="10"/>
      <c r="L3" s="11"/>
      <c r="M3" s="10"/>
      <c r="N3" s="12"/>
      <c r="O3" s="9"/>
      <c r="P3" s="13" t="s">
        <v>33</v>
      </c>
      <c r="Q3" s="14"/>
    </row>
    <row r="4" spans="1:17" ht="16.5" thickBot="1" x14ac:dyDescent="0.3">
      <c r="A4" s="934" t="s">
        <v>34</v>
      </c>
      <c r="B4" s="935"/>
      <c r="C4" s="935"/>
      <c r="D4" s="935"/>
      <c r="E4" s="15" t="s">
        <v>35</v>
      </c>
      <c r="F4" s="16" t="s">
        <v>290</v>
      </c>
      <c r="G4" s="17" t="s">
        <v>37</v>
      </c>
      <c r="H4" s="684" t="s">
        <v>253</v>
      </c>
      <c r="I4" s="19" t="s">
        <v>38</v>
      </c>
      <c r="J4" s="936" t="s">
        <v>34</v>
      </c>
      <c r="K4" s="937"/>
      <c r="L4" s="15" t="s">
        <v>35</v>
      </c>
      <c r="M4" s="16" t="s">
        <v>36</v>
      </c>
      <c r="N4" s="17" t="s">
        <v>39</v>
      </c>
      <c r="O4" s="18" t="s">
        <v>40</v>
      </c>
      <c r="P4" s="20" t="s">
        <v>38</v>
      </c>
      <c r="Q4" s="14"/>
    </row>
    <row r="5" spans="1:17" x14ac:dyDescent="0.25">
      <c r="A5" s="938" t="s">
        <v>41</v>
      </c>
      <c r="B5" s="939"/>
      <c r="C5" s="939"/>
      <c r="D5" s="940"/>
      <c r="E5" s="21">
        <v>36127</v>
      </c>
      <c r="F5" s="22">
        <v>36849</v>
      </c>
      <c r="G5" s="23">
        <v>42880.734818197314</v>
      </c>
      <c r="H5" s="257">
        <v>47126.784863493653</v>
      </c>
      <c r="I5" s="24" t="s">
        <v>42</v>
      </c>
      <c r="J5" s="941" t="s">
        <v>43</v>
      </c>
      <c r="K5" s="942"/>
      <c r="L5" s="25">
        <v>90000</v>
      </c>
      <c r="M5" s="25">
        <v>90000</v>
      </c>
      <c r="N5" s="25">
        <v>135000</v>
      </c>
      <c r="O5" s="26">
        <v>135000</v>
      </c>
      <c r="P5" s="27">
        <f>O5/N5-1</f>
        <v>0</v>
      </c>
      <c r="Q5" s="14"/>
    </row>
    <row r="6" spans="1:17" x14ac:dyDescent="0.25">
      <c r="A6" s="928" t="s">
        <v>44</v>
      </c>
      <c r="B6" s="929"/>
      <c r="C6" s="929"/>
      <c r="D6" s="930"/>
      <c r="E6" s="28">
        <v>27445</v>
      </c>
      <c r="F6" s="29" t="s">
        <v>42</v>
      </c>
      <c r="G6" s="30" t="s">
        <v>42</v>
      </c>
      <c r="H6" s="31" t="s">
        <v>42</v>
      </c>
      <c r="I6" s="32" t="s">
        <v>42</v>
      </c>
      <c r="J6" s="931" t="s">
        <v>45</v>
      </c>
      <c r="K6" s="932"/>
      <c r="L6" s="25">
        <v>5400.0266777715606</v>
      </c>
      <c r="M6" s="25">
        <v>5400.0266777715606</v>
      </c>
      <c r="N6" s="25">
        <v>5400.0266777715606</v>
      </c>
      <c r="O6" s="33">
        <v>5400.0266777715606</v>
      </c>
      <c r="P6" s="32">
        <f>O6/N6-1</f>
        <v>0</v>
      </c>
      <c r="Q6" s="14"/>
    </row>
    <row r="7" spans="1:17" ht="15.75" thickBot="1" x14ac:dyDescent="0.3">
      <c r="A7" s="959" t="s">
        <v>46</v>
      </c>
      <c r="B7" s="960"/>
      <c r="C7" s="960"/>
      <c r="D7" s="960"/>
      <c r="E7" s="34" t="s">
        <v>42</v>
      </c>
      <c r="F7" s="35" t="s">
        <v>42</v>
      </c>
      <c r="G7" s="36" t="s">
        <v>42</v>
      </c>
      <c r="H7" s="37" t="s">
        <v>42</v>
      </c>
      <c r="I7" s="38" t="s">
        <v>42</v>
      </c>
      <c r="J7" s="931" t="s">
        <v>47</v>
      </c>
      <c r="K7" s="932"/>
      <c r="L7" s="25">
        <v>1620</v>
      </c>
      <c r="M7" s="25">
        <v>2750</v>
      </c>
      <c r="N7" s="25">
        <v>3050</v>
      </c>
      <c r="O7" s="33">
        <v>3340</v>
      </c>
      <c r="P7" s="32">
        <f>O7/N7-1</f>
        <v>9.5081967213114682E-2</v>
      </c>
      <c r="Q7" s="855"/>
    </row>
    <row r="8" spans="1:17" ht="15.75" thickBot="1" x14ac:dyDescent="0.3">
      <c r="A8" s="961"/>
      <c r="B8" s="961"/>
      <c r="C8" s="961"/>
      <c r="D8" s="961"/>
      <c r="E8" s="961"/>
      <c r="F8" s="961"/>
      <c r="G8" s="961"/>
      <c r="H8" s="961"/>
      <c r="I8" s="39"/>
      <c r="J8" s="917" t="s">
        <v>48</v>
      </c>
      <c r="K8" s="918"/>
      <c r="L8" s="40">
        <v>17.95</v>
      </c>
      <c r="M8" s="40">
        <v>17.95</v>
      </c>
      <c r="N8" s="40">
        <v>17.95</v>
      </c>
      <c r="O8" s="41">
        <v>17.95</v>
      </c>
      <c r="P8" s="42">
        <f>O8/N8-1</f>
        <v>0</v>
      </c>
    </row>
    <row r="9" spans="1:17" ht="15.75" thickBot="1" x14ac:dyDescent="0.3">
      <c r="A9" s="919"/>
      <c r="B9" s="919"/>
      <c r="C9" s="919"/>
      <c r="D9" s="919"/>
      <c r="E9" s="919"/>
      <c r="F9" s="919"/>
      <c r="G9" s="919"/>
      <c r="H9" s="919"/>
      <c r="I9" s="919"/>
      <c r="J9" s="43"/>
      <c r="K9" s="43"/>
      <c r="L9" s="43"/>
      <c r="M9" s="43"/>
      <c r="N9" s="43"/>
      <c r="O9" s="9"/>
      <c r="P9" s="9"/>
      <c r="Q9" s="13" t="s">
        <v>33</v>
      </c>
    </row>
    <row r="10" spans="1:17" x14ac:dyDescent="0.25">
      <c r="A10" s="943" t="s">
        <v>49</v>
      </c>
      <c r="B10" s="945" t="s">
        <v>50</v>
      </c>
      <c r="C10" s="947" t="s">
        <v>51</v>
      </c>
      <c r="D10" s="948"/>
      <c r="E10" s="948"/>
      <c r="F10" s="948"/>
      <c r="G10" s="949"/>
      <c r="H10" s="956" t="s">
        <v>52</v>
      </c>
      <c r="I10" s="956" t="s">
        <v>53</v>
      </c>
      <c r="J10" s="920" t="s">
        <v>54</v>
      </c>
      <c r="K10" s="923" t="s">
        <v>55</v>
      </c>
      <c r="L10" s="897" t="s">
        <v>56</v>
      </c>
      <c r="M10" s="900" t="s">
        <v>57</v>
      </c>
      <c r="N10" s="911" t="s">
        <v>58</v>
      </c>
      <c r="O10" s="914" t="s">
        <v>59</v>
      </c>
      <c r="P10" s="903" t="s">
        <v>60</v>
      </c>
      <c r="Q10" s="906" t="s">
        <v>61</v>
      </c>
    </row>
    <row r="11" spans="1:17" x14ac:dyDescent="0.25">
      <c r="A11" s="944"/>
      <c r="B11" s="946"/>
      <c r="C11" s="950"/>
      <c r="D11" s="951"/>
      <c r="E11" s="951"/>
      <c r="F11" s="951"/>
      <c r="G11" s="952"/>
      <c r="H11" s="957"/>
      <c r="I11" s="957"/>
      <c r="J11" s="921"/>
      <c r="K11" s="924"/>
      <c r="L11" s="898"/>
      <c r="M11" s="901"/>
      <c r="N11" s="912"/>
      <c r="O11" s="915"/>
      <c r="P11" s="904"/>
      <c r="Q11" s="907"/>
    </row>
    <row r="12" spans="1:17" ht="15.75" thickBot="1" x14ac:dyDescent="0.3">
      <c r="A12" s="944"/>
      <c r="B12" s="946"/>
      <c r="C12" s="953"/>
      <c r="D12" s="954"/>
      <c r="E12" s="954"/>
      <c r="F12" s="954"/>
      <c r="G12" s="955"/>
      <c r="H12" s="958"/>
      <c r="I12" s="958"/>
      <c r="J12" s="922"/>
      <c r="K12" s="925"/>
      <c r="L12" s="899"/>
      <c r="M12" s="902"/>
      <c r="N12" s="913"/>
      <c r="O12" s="916"/>
      <c r="P12" s="905"/>
      <c r="Q12" s="908"/>
    </row>
    <row r="13" spans="1:17" ht="15.75" thickBot="1" x14ac:dyDescent="0.3">
      <c r="A13" s="44"/>
      <c r="B13" s="45"/>
      <c r="C13" s="909">
        <v>1</v>
      </c>
      <c r="D13" s="910"/>
      <c r="E13" s="910"/>
      <c r="F13" s="910"/>
      <c r="G13" s="910"/>
      <c r="H13" s="46">
        <v>2</v>
      </c>
      <c r="I13" s="46">
        <v>3</v>
      </c>
      <c r="J13" s="47">
        <v>4</v>
      </c>
      <c r="K13" s="48">
        <v>5</v>
      </c>
      <c r="L13" s="49">
        <v>6</v>
      </c>
      <c r="M13" s="47">
        <v>7</v>
      </c>
      <c r="N13" s="50">
        <v>8</v>
      </c>
      <c r="O13" s="51">
        <v>9</v>
      </c>
      <c r="P13" s="47">
        <v>10</v>
      </c>
      <c r="Q13" s="50">
        <v>11</v>
      </c>
    </row>
    <row r="14" spans="1:17" ht="7.5" customHeight="1" x14ac:dyDescent="0.25">
      <c r="A14" s="52"/>
      <c r="B14" s="53"/>
      <c r="C14" s="54"/>
      <c r="D14" s="10"/>
      <c r="E14" s="10"/>
      <c r="F14" s="10"/>
      <c r="G14" s="10"/>
      <c r="H14" s="55"/>
      <c r="I14" s="55"/>
      <c r="J14" s="56"/>
      <c r="K14" s="57"/>
      <c r="L14" s="58"/>
      <c r="M14" s="56"/>
      <c r="N14" s="59"/>
      <c r="O14" s="60"/>
      <c r="P14" s="56"/>
      <c r="Q14" s="59"/>
    </row>
    <row r="15" spans="1:17" ht="15.75" thickBot="1" x14ac:dyDescent="0.3">
      <c r="A15" s="52"/>
      <c r="B15" s="53"/>
      <c r="C15" s="61" t="s">
        <v>62</v>
      </c>
      <c r="D15" s="10"/>
      <c r="E15" s="10"/>
      <c r="F15" s="10"/>
      <c r="G15" s="10"/>
      <c r="H15" s="55"/>
      <c r="I15" s="55"/>
      <c r="J15" s="56"/>
      <c r="K15" s="57"/>
      <c r="L15" s="62"/>
      <c r="M15" s="56"/>
      <c r="N15" s="59"/>
      <c r="O15" s="63"/>
      <c r="P15" s="56"/>
      <c r="Q15" s="59"/>
    </row>
    <row r="16" spans="1:17" x14ac:dyDescent="0.25">
      <c r="A16" s="64" t="s">
        <v>63</v>
      </c>
      <c r="B16" s="65"/>
      <c r="C16" s="926" t="s">
        <v>64</v>
      </c>
      <c r="D16" s="927"/>
      <c r="E16" s="927"/>
      <c r="F16" s="927"/>
      <c r="G16" s="927"/>
      <c r="H16" s="66">
        <v>11723777656.32</v>
      </c>
      <c r="I16" s="66">
        <v>14567420908.800001</v>
      </c>
      <c r="J16" s="67">
        <f>I16/$I$57</f>
        <v>0.72313341786274343</v>
      </c>
      <c r="K16" s="68">
        <f>I16/H16-1</f>
        <v>0.24255349562579465</v>
      </c>
      <c r="L16" s="69">
        <v>15067420909</v>
      </c>
      <c r="M16" s="67">
        <f>L16/$L$57</f>
        <v>0.65999902826782819</v>
      </c>
      <c r="N16" s="70">
        <f>L16/I16-1</f>
        <v>3.4323165598788563E-2</v>
      </c>
      <c r="O16" s="71">
        <v>16063835573.712</v>
      </c>
      <c r="P16" s="67">
        <f>O16/$O$57</f>
        <v>0.66252294489709518</v>
      </c>
      <c r="Q16" s="70">
        <f>O16/L16-1</f>
        <v>6.6130406174345735E-2</v>
      </c>
    </row>
    <row r="17" spans="1:17" x14ac:dyDescent="0.25">
      <c r="A17" s="72" t="s">
        <v>63</v>
      </c>
      <c r="B17" s="73"/>
      <c r="C17" s="894" t="s">
        <v>65</v>
      </c>
      <c r="D17" s="895"/>
      <c r="E17" s="895"/>
      <c r="F17" s="895"/>
      <c r="G17" s="895"/>
      <c r="H17" s="74">
        <v>3702245575.6799998</v>
      </c>
      <c r="I17" s="74">
        <v>1618602323.2</v>
      </c>
      <c r="J17" s="75">
        <f>I17/$I$57</f>
        <v>8.0348157540304818E-2</v>
      </c>
      <c r="K17" s="76">
        <f>I17/H17-1</f>
        <v>-0.56280525153907224</v>
      </c>
      <c r="L17" s="77">
        <v>3118602323</v>
      </c>
      <c r="M17" s="75">
        <f>L17/$L$57</f>
        <v>0.1366043011053307</v>
      </c>
      <c r="N17" s="78">
        <f>L17/I17-1</f>
        <v>0.92672547067304234</v>
      </c>
      <c r="O17" s="79">
        <v>3325223658.2880001</v>
      </c>
      <c r="P17" s="75">
        <f>O17/$O$57</f>
        <v>0.13714264942649587</v>
      </c>
      <c r="Q17" s="78">
        <f>O17/L17-1</f>
        <v>6.6254467190044464E-2</v>
      </c>
    </row>
    <row r="18" spans="1:17" ht="15.75" thickBot="1" x14ac:dyDescent="0.3">
      <c r="A18" s="80" t="s">
        <v>63</v>
      </c>
      <c r="B18" s="81"/>
      <c r="C18" s="82" t="s">
        <v>66</v>
      </c>
      <c r="D18" s="83"/>
      <c r="E18" s="83"/>
      <c r="F18" s="83"/>
      <c r="G18" s="83"/>
      <c r="H18" s="84"/>
      <c r="I18" s="84"/>
      <c r="J18" s="85"/>
      <c r="K18" s="86"/>
      <c r="L18" s="87"/>
      <c r="M18" s="85"/>
      <c r="N18" s="88"/>
      <c r="O18" s="89">
        <v>615000000</v>
      </c>
      <c r="P18" s="85">
        <f>O18/$O$57</f>
        <v>2.5364528243708884E-2</v>
      </c>
      <c r="Q18" s="88"/>
    </row>
    <row r="19" spans="1:17" ht="15.75" thickBot="1" x14ac:dyDescent="0.3">
      <c r="A19" s="90"/>
      <c r="B19" s="91"/>
      <c r="C19" s="887" t="s">
        <v>67</v>
      </c>
      <c r="D19" s="888"/>
      <c r="E19" s="888"/>
      <c r="F19" s="888"/>
      <c r="G19" s="888"/>
      <c r="H19" s="92">
        <f>SUM(H17,H16)</f>
        <v>15426023232</v>
      </c>
      <c r="I19" s="92">
        <f>SUM(I17,I16)</f>
        <v>16186023232.000002</v>
      </c>
      <c r="J19" s="93">
        <f>I19/$I$57</f>
        <v>0.80348157540304832</v>
      </c>
      <c r="K19" s="94">
        <f>I19/H19-1</f>
        <v>4.9267396306226452E-2</v>
      </c>
      <c r="L19" s="95">
        <f>SUM(L17,L16)</f>
        <v>18186023232</v>
      </c>
      <c r="M19" s="93">
        <f>L19/$L$58</f>
        <v>0.79660332937315892</v>
      </c>
      <c r="N19" s="96">
        <f>L19/I19-1</f>
        <v>0.12356339610621392</v>
      </c>
      <c r="O19" s="97">
        <f>SUM(O16:O18)</f>
        <v>20004059232</v>
      </c>
      <c r="P19" s="93">
        <f>O19/$O$57</f>
        <v>0.82503012256729991</v>
      </c>
      <c r="Q19" s="96">
        <f>O19/L19-1</f>
        <v>9.9968859426122103E-2</v>
      </c>
    </row>
    <row r="20" spans="1:17" ht="7.5" customHeight="1" x14ac:dyDescent="0.25">
      <c r="A20" s="52"/>
      <c r="B20" s="53"/>
      <c r="C20" s="54"/>
      <c r="D20" s="10"/>
      <c r="E20" s="10"/>
      <c r="F20" s="10"/>
      <c r="G20" s="10"/>
      <c r="H20" s="98"/>
      <c r="I20" s="98"/>
      <c r="J20" s="99"/>
      <c r="K20" s="100"/>
      <c r="L20" s="101"/>
      <c r="M20" s="99"/>
      <c r="N20" s="102"/>
      <c r="O20" s="103"/>
      <c r="P20" s="99"/>
      <c r="Q20" s="102"/>
    </row>
    <row r="21" spans="1:17" ht="15.75" thickBot="1" x14ac:dyDescent="0.3">
      <c r="A21" s="52"/>
      <c r="B21" s="53"/>
      <c r="C21" s="54" t="s">
        <v>68</v>
      </c>
      <c r="D21" s="10"/>
      <c r="E21" s="10"/>
      <c r="F21" s="10"/>
      <c r="G21" s="10"/>
      <c r="H21" s="98"/>
      <c r="I21" s="98"/>
      <c r="J21" s="104"/>
      <c r="K21" s="104"/>
      <c r="L21" s="101"/>
      <c r="M21" s="104"/>
      <c r="N21" s="105"/>
      <c r="O21" s="103"/>
      <c r="P21" s="104"/>
      <c r="Q21" s="105"/>
    </row>
    <row r="22" spans="1:17" x14ac:dyDescent="0.25">
      <c r="A22" s="64" t="s">
        <v>63</v>
      </c>
      <c r="B22" s="65"/>
      <c r="C22" s="881" t="s">
        <v>69</v>
      </c>
      <c r="D22" s="882"/>
      <c r="E22" s="882"/>
      <c r="F22" s="882"/>
      <c r="G22" s="882"/>
      <c r="H22" s="106">
        <v>1046790000</v>
      </c>
      <c r="I22" s="106">
        <v>1013220000</v>
      </c>
      <c r="J22" s="107">
        <f t="shared" ref="J22:J28" si="0">I22/$I$57</f>
        <v>5.0296702912200328E-2</v>
      </c>
      <c r="K22" s="108">
        <f t="shared" ref="K22:K28" si="1">I22/H22-1</f>
        <v>-3.2069469521107341E-2</v>
      </c>
      <c r="L22" s="109">
        <v>1436000000</v>
      </c>
      <c r="M22" s="107">
        <f t="shared" ref="M22:M27" si="2">L22/$L$57</f>
        <v>6.2901183309115011E-2</v>
      </c>
      <c r="N22" s="110">
        <f t="shared" ref="N22:N28" si="3">L22/I22-1</f>
        <v>0.41726377292197148</v>
      </c>
      <c r="O22" s="111">
        <v>1421820000</v>
      </c>
      <c r="P22" s="107">
        <f t="shared" ref="P22:P28" si="4">O22/$O$57</f>
        <v>5.8640314711333602E-2</v>
      </c>
      <c r="Q22" s="110">
        <f t="shared" ref="Q22:Q28" si="5">O22/L22-1</f>
        <v>-9.8746518105850001E-3</v>
      </c>
    </row>
    <row r="23" spans="1:17" x14ac:dyDescent="0.25">
      <c r="A23" s="112"/>
      <c r="B23" s="113" t="s">
        <v>70</v>
      </c>
      <c r="C23" s="883" t="s">
        <v>71</v>
      </c>
      <c r="D23" s="884"/>
      <c r="E23" s="884"/>
      <c r="F23" s="884"/>
      <c r="G23" s="884"/>
      <c r="H23" s="114">
        <v>137000000</v>
      </c>
      <c r="I23" s="114">
        <v>135000000</v>
      </c>
      <c r="J23" s="115">
        <f t="shared" si="0"/>
        <v>6.7014615711760957E-3</v>
      </c>
      <c r="K23" s="116">
        <f t="shared" si="1"/>
        <v>-1.4598540145985384E-2</v>
      </c>
      <c r="L23" s="117">
        <v>135000000</v>
      </c>
      <c r="M23" s="115">
        <f t="shared" si="2"/>
        <v>5.91341207989591E-3</v>
      </c>
      <c r="N23" s="118">
        <f t="shared" si="3"/>
        <v>0</v>
      </c>
      <c r="O23" s="119">
        <v>120000000</v>
      </c>
      <c r="P23" s="115">
        <f t="shared" si="4"/>
        <v>4.9491762426749041E-3</v>
      </c>
      <c r="Q23" s="118">
        <f t="shared" si="5"/>
        <v>-0.11111111111111116</v>
      </c>
    </row>
    <row r="24" spans="1:17" x14ac:dyDescent="0.25">
      <c r="A24" s="112" t="s">
        <v>63</v>
      </c>
      <c r="B24" s="113"/>
      <c r="C24" s="883" t="s">
        <v>72</v>
      </c>
      <c r="D24" s="884"/>
      <c r="E24" s="884"/>
      <c r="F24" s="884"/>
      <c r="G24" s="884"/>
      <c r="H24" s="114">
        <v>40000000</v>
      </c>
      <c r="I24" s="114">
        <v>55000000</v>
      </c>
      <c r="J24" s="115">
        <f t="shared" si="0"/>
        <v>2.7302250845532244E-3</v>
      </c>
      <c r="K24" s="116">
        <f t="shared" si="1"/>
        <v>0.375</v>
      </c>
      <c r="L24" s="117">
        <v>50000000</v>
      </c>
      <c r="M24" s="115">
        <f t="shared" si="2"/>
        <v>2.1901526221836704E-3</v>
      </c>
      <c r="N24" s="118">
        <f t="shared" si="3"/>
        <v>-9.0909090909090939E-2</v>
      </c>
      <c r="O24" s="119">
        <v>28553400</v>
      </c>
      <c r="P24" s="115">
        <f t="shared" si="4"/>
        <v>1.1776317410632801E-3</v>
      </c>
      <c r="Q24" s="118">
        <f t="shared" si="5"/>
        <v>-0.42893199999999998</v>
      </c>
    </row>
    <row r="25" spans="1:17" x14ac:dyDescent="0.25">
      <c r="A25" s="112"/>
      <c r="B25" s="113" t="s">
        <v>70</v>
      </c>
      <c r="C25" s="883" t="s">
        <v>303</v>
      </c>
      <c r="D25" s="884"/>
      <c r="E25" s="884"/>
      <c r="F25" s="884"/>
      <c r="G25" s="884"/>
      <c r="H25" s="114">
        <v>1500000</v>
      </c>
      <c r="I25" s="114">
        <v>2000000</v>
      </c>
      <c r="J25" s="115">
        <f t="shared" si="0"/>
        <v>9.9280912165571793E-5</v>
      </c>
      <c r="K25" s="116">
        <f t="shared" si="1"/>
        <v>0.33333333333333326</v>
      </c>
      <c r="L25" s="117">
        <v>2000000</v>
      </c>
      <c r="M25" s="115">
        <f t="shared" si="2"/>
        <v>8.7606104887346815E-5</v>
      </c>
      <c r="N25" s="118">
        <f t="shared" si="3"/>
        <v>0</v>
      </c>
      <c r="O25" s="119">
        <v>2000000</v>
      </c>
      <c r="P25" s="115">
        <f t="shared" si="4"/>
        <v>8.2486270711248404E-5</v>
      </c>
      <c r="Q25" s="118">
        <f t="shared" si="5"/>
        <v>0</v>
      </c>
    </row>
    <row r="26" spans="1:17" x14ac:dyDescent="0.25">
      <c r="A26" s="112" t="s">
        <v>63</v>
      </c>
      <c r="B26" s="113"/>
      <c r="C26" s="883" t="s">
        <v>73</v>
      </c>
      <c r="D26" s="884"/>
      <c r="E26" s="884"/>
      <c r="F26" s="884"/>
      <c r="G26" s="884"/>
      <c r="H26" s="114">
        <v>731081000</v>
      </c>
      <c r="I26" s="114">
        <v>699456600</v>
      </c>
      <c r="J26" s="115">
        <f t="shared" si="0"/>
        <v>3.4721344634114741E-2</v>
      </c>
      <c r="K26" s="116">
        <f t="shared" si="1"/>
        <v>-4.3257039917601436E-2</v>
      </c>
      <c r="L26" s="117">
        <v>678310200</v>
      </c>
      <c r="M26" s="115">
        <f t="shared" si="2"/>
        <v>2.9712057263678596E-2</v>
      </c>
      <c r="N26" s="118">
        <f t="shared" si="3"/>
        <v>-3.0232612001945491E-2</v>
      </c>
      <c r="O26" s="119">
        <v>664626600</v>
      </c>
      <c r="P26" s="115">
        <f t="shared" si="4"/>
        <v>2.7411284824748302E-2</v>
      </c>
      <c r="Q26" s="118">
        <f t="shared" si="5"/>
        <v>-2.0173071258548059E-2</v>
      </c>
    </row>
    <row r="27" spans="1:17" ht="15.75" thickBot="1" x14ac:dyDescent="0.3">
      <c r="A27" s="80"/>
      <c r="B27" s="120" t="s">
        <v>70</v>
      </c>
      <c r="C27" s="885" t="s">
        <v>304</v>
      </c>
      <c r="D27" s="886"/>
      <c r="E27" s="886"/>
      <c r="F27" s="886"/>
      <c r="G27" s="886"/>
      <c r="H27" s="121">
        <v>48865000</v>
      </c>
      <c r="I27" s="121">
        <v>44000000</v>
      </c>
      <c r="J27" s="122">
        <f t="shared" si="0"/>
        <v>2.1841800676425794E-3</v>
      </c>
      <c r="K27" s="86">
        <f t="shared" si="1"/>
        <v>-9.9560012278727128E-2</v>
      </c>
      <c r="L27" s="123">
        <v>42000000</v>
      </c>
      <c r="M27" s="122">
        <f t="shared" si="2"/>
        <v>1.8397282026342832E-3</v>
      </c>
      <c r="N27" s="124">
        <f t="shared" si="3"/>
        <v>-4.5454545454545414E-2</v>
      </c>
      <c r="O27" s="125">
        <v>30000000</v>
      </c>
      <c r="P27" s="122">
        <f t="shared" si="4"/>
        <v>1.237294060668726E-3</v>
      </c>
      <c r="Q27" s="124">
        <f t="shared" si="5"/>
        <v>-0.2857142857142857</v>
      </c>
    </row>
    <row r="28" spans="1:17" ht="15.75" thickBot="1" x14ac:dyDescent="0.3">
      <c r="A28" s="90"/>
      <c r="B28" s="91"/>
      <c r="C28" s="887" t="s">
        <v>74</v>
      </c>
      <c r="D28" s="888"/>
      <c r="E28" s="888"/>
      <c r="F28" s="888"/>
      <c r="G28" s="888"/>
      <c r="H28" s="92">
        <f>SUM(H22:H27)</f>
        <v>2005236000</v>
      </c>
      <c r="I28" s="92">
        <f>SUM(I22:I27)</f>
        <v>1948676600</v>
      </c>
      <c r="J28" s="93">
        <f t="shared" si="0"/>
        <v>9.6733195181852541E-2</v>
      </c>
      <c r="K28" s="94">
        <f t="shared" si="1"/>
        <v>-2.8205857066200712E-2</v>
      </c>
      <c r="L28" s="95">
        <f>SUM(L22:L27)</f>
        <v>2343310200</v>
      </c>
      <c r="M28" s="93">
        <f>L28/$L$58</f>
        <v>0.10264413958239482</v>
      </c>
      <c r="N28" s="96">
        <f t="shared" si="3"/>
        <v>0.20251364438819652</v>
      </c>
      <c r="O28" s="97">
        <f>SUM(O22:O27)</f>
        <v>2267000000</v>
      </c>
      <c r="P28" s="93">
        <f t="shared" si="4"/>
        <v>9.3498187851200065E-2</v>
      </c>
      <c r="Q28" s="96">
        <f t="shared" si="5"/>
        <v>-3.2565129448077323E-2</v>
      </c>
    </row>
    <row r="29" spans="1:17" ht="9" customHeight="1" x14ac:dyDescent="0.25">
      <c r="A29" s="52"/>
      <c r="B29" s="53"/>
      <c r="C29" s="54"/>
      <c r="D29" s="10"/>
      <c r="E29" s="10"/>
      <c r="F29" s="10"/>
      <c r="G29" s="10"/>
      <c r="H29" s="98"/>
      <c r="I29" s="98"/>
      <c r="J29" s="99"/>
      <c r="K29" s="104"/>
      <c r="L29" s="101"/>
      <c r="M29" s="99"/>
      <c r="N29" s="105"/>
      <c r="O29" s="103"/>
      <c r="P29" s="99"/>
      <c r="Q29" s="105"/>
    </row>
    <row r="30" spans="1:17" x14ac:dyDescent="0.25">
      <c r="A30" s="52"/>
      <c r="B30" s="53"/>
      <c r="C30" s="61" t="s">
        <v>75</v>
      </c>
      <c r="D30" s="10"/>
      <c r="E30" s="10"/>
      <c r="F30" s="10"/>
      <c r="G30" s="10"/>
      <c r="H30" s="98"/>
      <c r="I30" s="98"/>
      <c r="J30" s="104"/>
      <c r="K30" s="104"/>
      <c r="L30" s="101"/>
      <c r="M30" s="104"/>
      <c r="N30" s="105"/>
      <c r="O30" s="103"/>
      <c r="P30" s="104"/>
      <c r="Q30" s="105"/>
    </row>
    <row r="31" spans="1:17" x14ac:dyDescent="0.25">
      <c r="A31" s="72" t="s">
        <v>63</v>
      </c>
      <c r="B31" s="126" t="s">
        <v>70</v>
      </c>
      <c r="C31" s="883" t="s">
        <v>76</v>
      </c>
      <c r="D31" s="884"/>
      <c r="E31" s="884"/>
      <c r="F31" s="884"/>
      <c r="G31" s="884"/>
      <c r="H31" s="114">
        <v>1150000000</v>
      </c>
      <c r="I31" s="114">
        <v>1150000000</v>
      </c>
      <c r="J31" s="115">
        <f>I31/$I$57</f>
        <v>5.708652449520378E-2</v>
      </c>
      <c r="K31" s="116">
        <f>I31/H31-1</f>
        <v>0</v>
      </c>
      <c r="L31" s="117">
        <v>1185000000</v>
      </c>
      <c r="M31" s="115">
        <f>L31/$L$57</f>
        <v>5.1906617145752988E-2</v>
      </c>
      <c r="N31" s="127">
        <f>L31/I31-1</f>
        <v>3.0434782608695699E-2</v>
      </c>
      <c r="O31" s="119">
        <f>SUM(O32:O34)</f>
        <v>1235000000</v>
      </c>
      <c r="P31" s="115">
        <f>O31/$O$57</f>
        <v>5.093527216419589E-2</v>
      </c>
      <c r="Q31" s="127">
        <f>O31/L31-1</f>
        <v>4.2194092827004148E-2</v>
      </c>
    </row>
    <row r="32" spans="1:17" x14ac:dyDescent="0.25">
      <c r="A32" s="112" t="s">
        <v>63</v>
      </c>
      <c r="B32" s="113"/>
      <c r="C32" s="126" t="s">
        <v>77</v>
      </c>
      <c r="D32" s="128" t="s">
        <v>78</v>
      </c>
      <c r="E32" s="53"/>
      <c r="F32" s="53"/>
      <c r="G32" s="53"/>
      <c r="H32" s="129">
        <v>1035000000</v>
      </c>
      <c r="I32" s="129">
        <v>1035000000</v>
      </c>
      <c r="J32" s="115">
        <f>I32/$I$57</f>
        <v>5.13778720456834E-2</v>
      </c>
      <c r="K32" s="116">
        <f>I32/H32-1</f>
        <v>0</v>
      </c>
      <c r="L32" s="130">
        <v>1035000000</v>
      </c>
      <c r="M32" s="115">
        <f>L32/$L$57</f>
        <v>4.5336159279201975E-2</v>
      </c>
      <c r="N32" s="127">
        <f>L32/I32-1</f>
        <v>0</v>
      </c>
      <c r="O32" s="131">
        <v>1035000000</v>
      </c>
      <c r="P32" s="115">
        <f>O32/$O$57</f>
        <v>4.2686645093071046E-2</v>
      </c>
      <c r="Q32" s="127">
        <f>O32/L32-1</f>
        <v>0</v>
      </c>
    </row>
    <row r="33" spans="1:17" x14ac:dyDescent="0.25">
      <c r="A33" s="112"/>
      <c r="B33" s="113" t="s">
        <v>70</v>
      </c>
      <c r="C33" s="132"/>
      <c r="D33" s="133" t="s">
        <v>79</v>
      </c>
      <c r="E33" s="134"/>
      <c r="F33" s="134"/>
      <c r="G33" s="135"/>
      <c r="H33" s="136">
        <v>115000000</v>
      </c>
      <c r="I33" s="137">
        <v>115000000</v>
      </c>
      <c r="J33" s="115">
        <f>I33/$I$57</f>
        <v>5.7086524495203782E-3</v>
      </c>
      <c r="K33" s="116">
        <f>I33/H33-1</f>
        <v>0</v>
      </c>
      <c r="L33" s="138">
        <v>150000000</v>
      </c>
      <c r="M33" s="115">
        <f>L33/$L$57</f>
        <v>6.5704578665510107E-3</v>
      </c>
      <c r="N33" s="127">
        <f>L33/I33-1</f>
        <v>0.30434782608695654</v>
      </c>
      <c r="O33" s="139">
        <v>150000000</v>
      </c>
      <c r="P33" s="115">
        <f>O33/$O$57</f>
        <v>6.1864703033436301E-3</v>
      </c>
      <c r="Q33" s="127">
        <f>O33/L33-1</f>
        <v>0</v>
      </c>
    </row>
    <row r="34" spans="1:17" x14ac:dyDescent="0.25">
      <c r="A34" s="112"/>
      <c r="B34" s="113" t="s">
        <v>70</v>
      </c>
      <c r="C34" s="140"/>
      <c r="D34" s="133" t="s">
        <v>80</v>
      </c>
      <c r="E34" s="134"/>
      <c r="F34" s="134"/>
      <c r="G34" s="135"/>
      <c r="H34" s="136"/>
      <c r="I34" s="137"/>
      <c r="J34" s="115"/>
      <c r="K34" s="116"/>
      <c r="L34" s="138"/>
      <c r="M34" s="115"/>
      <c r="N34" s="127"/>
      <c r="O34" s="139">
        <v>50000000</v>
      </c>
      <c r="P34" s="115">
        <f>O34/$O$57</f>
        <v>2.06215676778121E-3</v>
      </c>
      <c r="Q34" s="127"/>
    </row>
    <row r="35" spans="1:17" ht="15.75" thickBot="1" x14ac:dyDescent="0.3">
      <c r="A35" s="90"/>
      <c r="B35" s="91"/>
      <c r="C35" s="889" t="s">
        <v>81</v>
      </c>
      <c r="D35" s="890"/>
      <c r="E35" s="890"/>
      <c r="F35" s="890"/>
      <c r="G35" s="890"/>
      <c r="H35" s="92">
        <f>+H31</f>
        <v>1150000000</v>
      </c>
      <c r="I35" s="92">
        <v>1150000000</v>
      </c>
      <c r="J35" s="93">
        <f>I35/$I$57</f>
        <v>5.708652449520378E-2</v>
      </c>
      <c r="K35" s="94">
        <f>I35/H35-1</f>
        <v>0</v>
      </c>
      <c r="L35" s="95">
        <f>+L31</f>
        <v>1185000000</v>
      </c>
      <c r="M35" s="93">
        <f>L35/$L$58</f>
        <v>5.1906617145752988E-2</v>
      </c>
      <c r="N35" s="96">
        <f>L35/I35-1</f>
        <v>3.0434782608695699E-2</v>
      </c>
      <c r="O35" s="97">
        <f>SUM(O31:O31)</f>
        <v>1235000000</v>
      </c>
      <c r="P35" s="93">
        <f>O35/$O$57</f>
        <v>5.093527216419589E-2</v>
      </c>
      <c r="Q35" s="96">
        <f>O35/L35-1</f>
        <v>4.2194092827004148E-2</v>
      </c>
    </row>
    <row r="36" spans="1:17" ht="7.5" customHeight="1" x14ac:dyDescent="0.25">
      <c r="A36" s="52"/>
      <c r="B36" s="53"/>
      <c r="C36" s="54"/>
      <c r="D36" s="10"/>
      <c r="E36" s="10"/>
      <c r="F36" s="10"/>
      <c r="G36" s="10"/>
      <c r="H36" s="98"/>
      <c r="I36" s="98"/>
      <c r="J36" s="99"/>
      <c r="K36" s="104"/>
      <c r="L36" s="101"/>
      <c r="M36" s="99"/>
      <c r="N36" s="105"/>
      <c r="O36" s="103"/>
      <c r="P36" s="99"/>
      <c r="Q36" s="105"/>
    </row>
    <row r="37" spans="1:17" ht="15.75" thickBot="1" x14ac:dyDescent="0.3">
      <c r="A37" s="141"/>
      <c r="B37" s="142"/>
      <c r="C37" s="61" t="s">
        <v>82</v>
      </c>
      <c r="D37" s="10"/>
      <c r="E37" s="10"/>
      <c r="F37" s="10"/>
      <c r="G37" s="10"/>
      <c r="H37" s="98"/>
      <c r="I37" s="98"/>
      <c r="J37" s="104"/>
      <c r="K37" s="104"/>
      <c r="L37" s="101"/>
      <c r="M37" s="104"/>
      <c r="N37" s="105"/>
      <c r="O37" s="103"/>
      <c r="P37" s="104"/>
      <c r="Q37" s="105"/>
    </row>
    <row r="38" spans="1:17" ht="15.75" thickBot="1" x14ac:dyDescent="0.3">
      <c r="A38" s="143" t="s">
        <v>63</v>
      </c>
      <c r="B38" s="144" t="s">
        <v>70</v>
      </c>
      <c r="C38" s="145" t="s">
        <v>83</v>
      </c>
      <c r="D38" s="146"/>
      <c r="E38" s="146"/>
      <c r="F38" s="146"/>
      <c r="G38" s="146"/>
      <c r="H38" s="147">
        <v>260000000</v>
      </c>
      <c r="I38" s="147">
        <v>260000000</v>
      </c>
      <c r="J38" s="148">
        <f>I38/$I$57</f>
        <v>1.2906518581524333E-2</v>
      </c>
      <c r="K38" s="149">
        <f>I38/H38-1</f>
        <v>0</v>
      </c>
      <c r="L38" s="150">
        <v>260000000</v>
      </c>
      <c r="M38" s="148">
        <f>L38/$L$57</f>
        <v>1.1388793635355086E-2</v>
      </c>
      <c r="N38" s="151">
        <f>L38/I38-1</f>
        <v>0</v>
      </c>
      <c r="O38" s="152">
        <f>SUM(O39:O40)</f>
        <v>260000000</v>
      </c>
      <c r="P38" s="148">
        <f>O38/$L$57</f>
        <v>1.1388793635355086E-2</v>
      </c>
      <c r="Q38" s="151">
        <f>O38/L38-1</f>
        <v>0</v>
      </c>
    </row>
    <row r="39" spans="1:17" x14ac:dyDescent="0.25">
      <c r="A39" s="153" t="s">
        <v>63</v>
      </c>
      <c r="B39" s="154"/>
      <c r="C39" s="132"/>
      <c r="D39" s="133" t="s">
        <v>84</v>
      </c>
      <c r="E39" s="134"/>
      <c r="F39" s="134"/>
      <c r="G39" s="135"/>
      <c r="H39" s="155">
        <v>10000000</v>
      </c>
      <c r="I39" s="114">
        <v>10000000</v>
      </c>
      <c r="J39" s="115">
        <f>I39/$I$57</f>
        <v>4.9640456082785897E-4</v>
      </c>
      <c r="K39" s="116">
        <f t="shared" ref="K39:K56" si="6">I39/H39-1</f>
        <v>0</v>
      </c>
      <c r="L39" s="117">
        <v>10000000</v>
      </c>
      <c r="M39" s="115">
        <f>L39/$L$57</f>
        <v>4.3803052443673406E-4</v>
      </c>
      <c r="N39" s="127">
        <f>L39/I39-1</f>
        <v>0</v>
      </c>
      <c r="O39" s="119">
        <v>10000000</v>
      </c>
      <c r="P39" s="115">
        <f>O39/$O$57</f>
        <v>4.12431353556242E-4</v>
      </c>
      <c r="Q39" s="127">
        <f>O39/L39-1</f>
        <v>0</v>
      </c>
    </row>
    <row r="40" spans="1:17" ht="15.75" thickBot="1" x14ac:dyDescent="0.3">
      <c r="A40" s="156" t="s">
        <v>63</v>
      </c>
      <c r="B40" s="154"/>
      <c r="C40" s="132"/>
      <c r="D40" s="154" t="s">
        <v>85</v>
      </c>
      <c r="E40" s="157"/>
      <c r="F40" s="157"/>
      <c r="G40" s="158"/>
      <c r="H40" s="155">
        <v>250000000</v>
      </c>
      <c r="I40" s="114">
        <v>250000000</v>
      </c>
      <c r="J40" s="115">
        <f>I40/$I$57</f>
        <v>1.2410114020696474E-2</v>
      </c>
      <c r="K40" s="116">
        <f t="shared" si="6"/>
        <v>0</v>
      </c>
      <c r="L40" s="117">
        <v>250000000</v>
      </c>
      <c r="M40" s="115">
        <f>L40/$L$57</f>
        <v>1.0950763110918351E-2</v>
      </c>
      <c r="N40" s="127">
        <f>L40/I40-1</f>
        <v>0</v>
      </c>
      <c r="O40" s="119">
        <v>250000000</v>
      </c>
      <c r="P40" s="115">
        <f>O40/$O$57</f>
        <v>1.0310783838906051E-2</v>
      </c>
      <c r="Q40" s="127">
        <f>O40/L40-1</f>
        <v>0</v>
      </c>
    </row>
    <row r="41" spans="1:17" ht="15.75" thickBot="1" x14ac:dyDescent="0.3">
      <c r="A41" s="159"/>
      <c r="B41" s="160"/>
      <c r="C41" s="145" t="s">
        <v>86</v>
      </c>
      <c r="D41" s="146"/>
      <c r="E41" s="146"/>
      <c r="F41" s="146"/>
      <c r="G41" s="146"/>
      <c r="H41" s="161">
        <v>251600000</v>
      </c>
      <c r="I41" s="161">
        <v>600159400</v>
      </c>
      <c r="J41" s="148">
        <f>I41/$I$57</f>
        <v>2.9792186338371135E-2</v>
      </c>
      <c r="K41" s="149">
        <f t="shared" si="6"/>
        <v>1.385371224165342</v>
      </c>
      <c r="L41" s="162">
        <f>SUM(L42:L55)</f>
        <v>855125800</v>
      </c>
      <c r="M41" s="148">
        <f>L41/$L$57</f>
        <v>3.7457120263338174E-2</v>
      </c>
      <c r="N41" s="151">
        <f>L41/I41-1</f>
        <v>0.42483113652806237</v>
      </c>
      <c r="O41" s="163">
        <f>SUM(O42:O55)</f>
        <v>480400000</v>
      </c>
      <c r="P41" s="148">
        <f>O41/$O$57</f>
        <v>1.9813202224841866E-2</v>
      </c>
      <c r="Q41" s="151">
        <f>O41/L41-1</f>
        <v>-0.43821131346990116</v>
      </c>
    </row>
    <row r="42" spans="1:17" x14ac:dyDescent="0.25">
      <c r="A42" s="164" t="s">
        <v>63</v>
      </c>
      <c r="B42" s="128" t="s">
        <v>70</v>
      </c>
      <c r="C42" s="132" t="s">
        <v>87</v>
      </c>
      <c r="D42" s="165" t="s">
        <v>88</v>
      </c>
      <c r="E42" s="165"/>
      <c r="F42" s="165"/>
      <c r="G42" s="165"/>
      <c r="H42" s="166"/>
      <c r="I42" s="166"/>
      <c r="J42" s="167"/>
      <c r="K42" s="168"/>
      <c r="L42" s="169"/>
      <c r="M42" s="167"/>
      <c r="N42" s="170"/>
      <c r="O42" s="171"/>
      <c r="P42" s="167"/>
      <c r="Q42" s="170"/>
    </row>
    <row r="43" spans="1:17" x14ac:dyDescent="0.25">
      <c r="A43" s="112" t="s">
        <v>63</v>
      </c>
      <c r="B43" s="128"/>
      <c r="C43" s="132"/>
      <c r="D43" s="126" t="s">
        <v>77</v>
      </c>
      <c r="E43" s="157" t="s">
        <v>89</v>
      </c>
      <c r="F43" s="165"/>
      <c r="G43" s="165"/>
      <c r="H43" s="172">
        <v>51300000</v>
      </c>
      <c r="I43" s="172">
        <v>60000000</v>
      </c>
      <c r="J43" s="173">
        <f>I43/$I$57</f>
        <v>2.9784273649671538E-3</v>
      </c>
      <c r="K43" s="174">
        <f t="shared" si="6"/>
        <v>0.16959064327485374</v>
      </c>
      <c r="L43" s="117">
        <v>80000000</v>
      </c>
      <c r="M43" s="173">
        <f>L43/$L$57</f>
        <v>3.5042441954938725E-3</v>
      </c>
      <c r="N43" s="127">
        <f>L43/I43-1</f>
        <v>0.33333333333333326</v>
      </c>
      <c r="O43" s="119">
        <v>86690000</v>
      </c>
      <c r="P43" s="173">
        <f>O43/$O$57</f>
        <v>3.5753674039790619E-3</v>
      </c>
      <c r="Q43" s="127">
        <f>O43/L43-1</f>
        <v>8.362500000000006E-2</v>
      </c>
    </row>
    <row r="44" spans="1:17" x14ac:dyDescent="0.25">
      <c r="A44" s="164" t="s">
        <v>63</v>
      </c>
      <c r="B44" s="128"/>
      <c r="C44" s="132"/>
      <c r="D44" s="132"/>
      <c r="E44" s="157" t="s">
        <v>90</v>
      </c>
      <c r="F44" s="165"/>
      <c r="G44" s="165"/>
      <c r="H44" s="172">
        <v>22000000</v>
      </c>
      <c r="I44" s="172">
        <v>22000000</v>
      </c>
      <c r="J44" s="173">
        <f>I44/$I$57</f>
        <v>1.0920900338212897E-3</v>
      </c>
      <c r="K44" s="174">
        <f t="shared" si="6"/>
        <v>0</v>
      </c>
      <c r="L44" s="117">
        <v>22000000</v>
      </c>
      <c r="M44" s="173">
        <f>L44/$L$57</f>
        <v>9.6366715376081493E-4</v>
      </c>
      <c r="N44" s="127">
        <f>L44/I44-1</f>
        <v>0</v>
      </c>
      <c r="O44" s="119">
        <v>22000000</v>
      </c>
      <c r="P44" s="173">
        <f>O44/$O$57</f>
        <v>9.0734897782373245E-4</v>
      </c>
      <c r="Q44" s="127">
        <f>O44/L44-1</f>
        <v>0</v>
      </c>
    </row>
    <row r="45" spans="1:17" x14ac:dyDescent="0.25">
      <c r="A45" s="164"/>
      <c r="B45" s="128"/>
      <c r="C45" s="132"/>
      <c r="D45" s="132"/>
      <c r="E45" s="165" t="s">
        <v>91</v>
      </c>
      <c r="F45" s="165"/>
      <c r="G45" s="175"/>
      <c r="H45" s="166">
        <v>12000000</v>
      </c>
      <c r="I45" s="166"/>
      <c r="J45" s="167">
        <f>I45/$I$57</f>
        <v>0</v>
      </c>
      <c r="K45" s="174">
        <f t="shared" si="6"/>
        <v>-1</v>
      </c>
      <c r="L45" s="176"/>
      <c r="M45" s="167"/>
      <c r="N45" s="127"/>
      <c r="O45" s="177"/>
      <c r="P45" s="167"/>
      <c r="Q45" s="127"/>
    </row>
    <row r="46" spans="1:17" x14ac:dyDescent="0.25">
      <c r="A46" s="164" t="s">
        <v>63</v>
      </c>
      <c r="B46" s="128"/>
      <c r="C46" s="132"/>
      <c r="D46" s="132"/>
      <c r="E46" s="165" t="s">
        <v>92</v>
      </c>
      <c r="F46" s="165"/>
      <c r="G46" s="165"/>
      <c r="H46" s="166"/>
      <c r="I46" s="166"/>
      <c r="J46" s="167"/>
      <c r="K46" s="174"/>
      <c r="L46" s="176">
        <v>8000000</v>
      </c>
      <c r="M46" s="167"/>
      <c r="N46" s="127"/>
      <c r="O46" s="177">
        <v>8000000</v>
      </c>
      <c r="P46" s="167">
        <f>O46/$O$57</f>
        <v>3.2994508284499361E-4</v>
      </c>
      <c r="Q46" s="127">
        <f>O46/L46-1</f>
        <v>0</v>
      </c>
    </row>
    <row r="47" spans="1:17" x14ac:dyDescent="0.25">
      <c r="A47" s="164"/>
      <c r="B47" s="128"/>
      <c r="C47" s="132"/>
      <c r="D47" s="132"/>
      <c r="E47" s="165" t="s">
        <v>93</v>
      </c>
      <c r="F47" s="165"/>
      <c r="G47" s="165"/>
      <c r="H47" s="166"/>
      <c r="I47" s="166">
        <v>100000000</v>
      </c>
      <c r="J47" s="167"/>
      <c r="K47" s="174"/>
      <c r="L47" s="176"/>
      <c r="M47" s="167"/>
      <c r="N47" s="127"/>
      <c r="O47" s="177"/>
      <c r="P47" s="167"/>
      <c r="Q47" s="127"/>
    </row>
    <row r="48" spans="1:17" x14ac:dyDescent="0.25">
      <c r="A48" s="164" t="s">
        <v>63</v>
      </c>
      <c r="B48" s="128"/>
      <c r="C48" s="132"/>
      <c r="D48" s="132"/>
      <c r="E48" s="165" t="s">
        <v>94</v>
      </c>
      <c r="F48" s="165"/>
      <c r="G48" s="165"/>
      <c r="H48" s="166">
        <v>50000000</v>
      </c>
      <c r="I48" s="166">
        <v>260000000</v>
      </c>
      <c r="J48" s="167">
        <f>I48/$I$57</f>
        <v>1.2906518581524333E-2</v>
      </c>
      <c r="K48" s="174">
        <f t="shared" si="6"/>
        <v>4.2</v>
      </c>
      <c r="L48" s="176">
        <v>165000000</v>
      </c>
      <c r="M48" s="167">
        <f>L48/$L$57</f>
        <v>7.2275036532061122E-3</v>
      </c>
      <c r="N48" s="127">
        <f>L48/I48-1</f>
        <v>-0.36538461538461542</v>
      </c>
      <c r="O48" s="177">
        <v>85000000</v>
      </c>
      <c r="P48" s="167">
        <f>O48/$O$57</f>
        <v>3.505666505228057E-3</v>
      </c>
      <c r="Q48" s="127">
        <f>O48/L48-1</f>
        <v>-0.48484848484848486</v>
      </c>
    </row>
    <row r="49" spans="1:17" x14ac:dyDescent="0.25">
      <c r="A49" s="164"/>
      <c r="B49" s="128" t="s">
        <v>70</v>
      </c>
      <c r="C49" s="132"/>
      <c r="D49" s="132"/>
      <c r="E49" s="157" t="s">
        <v>305</v>
      </c>
      <c r="F49" s="165"/>
      <c r="G49" s="165"/>
      <c r="H49" s="172">
        <v>8000000</v>
      </c>
      <c r="I49" s="172">
        <v>8000000</v>
      </c>
      <c r="J49" s="173">
        <f>I49/$I$57</f>
        <v>3.9712364866228717E-4</v>
      </c>
      <c r="K49" s="174">
        <f t="shared" si="6"/>
        <v>0</v>
      </c>
      <c r="L49" s="117">
        <v>8000000</v>
      </c>
      <c r="M49" s="173">
        <f>L49/$L$57</f>
        <v>3.5042441954938726E-4</v>
      </c>
      <c r="N49" s="127">
        <f>L49/I49-1</f>
        <v>0</v>
      </c>
      <c r="O49" s="119">
        <v>8000000</v>
      </c>
      <c r="P49" s="173">
        <f>O49/$O$57</f>
        <v>3.2994508284499361E-4</v>
      </c>
      <c r="Q49" s="127">
        <f>O49/L49-1</f>
        <v>0</v>
      </c>
    </row>
    <row r="50" spans="1:17" x14ac:dyDescent="0.25">
      <c r="A50" s="164"/>
      <c r="B50" s="128" t="s">
        <v>70</v>
      </c>
      <c r="C50" s="132"/>
      <c r="D50" s="132"/>
      <c r="E50" s="157" t="s">
        <v>306</v>
      </c>
      <c r="F50" s="157"/>
      <c r="G50" s="157"/>
      <c r="H50" s="172">
        <v>23000000</v>
      </c>
      <c r="I50" s="172">
        <v>23000000</v>
      </c>
      <c r="J50" s="173">
        <f>I50/$I$57</f>
        <v>1.1417304899040755E-3</v>
      </c>
      <c r="K50" s="174">
        <f t="shared" si="6"/>
        <v>0</v>
      </c>
      <c r="L50" s="117">
        <v>23000000</v>
      </c>
      <c r="M50" s="173">
        <f>L50/$L$57</f>
        <v>1.0074702062044883E-3</v>
      </c>
      <c r="N50" s="127">
        <f>L50/I50-1</f>
        <v>0</v>
      </c>
      <c r="O50" s="119">
        <v>24000000</v>
      </c>
      <c r="P50" s="173">
        <f>O50/$O$57</f>
        <v>9.898352485349809E-4</v>
      </c>
      <c r="Q50" s="127">
        <f>O50/L50-1</f>
        <v>4.3478260869565188E-2</v>
      </c>
    </row>
    <row r="51" spans="1:17" x14ac:dyDescent="0.25">
      <c r="A51" s="164" t="s">
        <v>63</v>
      </c>
      <c r="B51" s="128" t="s">
        <v>70</v>
      </c>
      <c r="C51" s="132"/>
      <c r="D51" s="132"/>
      <c r="E51" s="178" t="s">
        <v>95</v>
      </c>
      <c r="F51" s="178"/>
      <c r="G51" s="178"/>
      <c r="H51" s="166">
        <v>20000000</v>
      </c>
      <c r="I51" s="166">
        <v>17000000</v>
      </c>
      <c r="J51" s="167">
        <f>I51/$I$57</f>
        <v>8.4388775340736024E-4</v>
      </c>
      <c r="K51" s="168">
        <f t="shared" si="6"/>
        <v>-0.15000000000000002</v>
      </c>
      <c r="L51" s="176">
        <v>537600519.35603809</v>
      </c>
      <c r="M51" s="173">
        <f>L51/$L$57</f>
        <v>2.3548543743098598E-2</v>
      </c>
      <c r="N51" s="127">
        <f>L51/I51-1</f>
        <v>30.623559962119888</v>
      </c>
      <c r="O51" s="177">
        <f>6800000+6600000+10000000+200000000-6690000</f>
        <v>216710000</v>
      </c>
      <c r="P51" s="173">
        <f>O51/$O$57</f>
        <v>8.9377998629173207E-3</v>
      </c>
      <c r="Q51" s="127">
        <f>O51/L51-1</f>
        <v>-0.59689399061670378</v>
      </c>
    </row>
    <row r="52" spans="1:17" x14ac:dyDescent="0.25">
      <c r="A52" s="164"/>
      <c r="B52" s="128"/>
      <c r="C52" s="132"/>
      <c r="D52" s="132"/>
      <c r="E52" s="178" t="s">
        <v>96</v>
      </c>
      <c r="F52" s="178"/>
      <c r="G52" s="178"/>
      <c r="H52" s="166">
        <v>28000000</v>
      </c>
      <c r="I52" s="166"/>
      <c r="J52" s="167">
        <f>I52/$I$57</f>
        <v>0</v>
      </c>
      <c r="K52" s="168">
        <f t="shared" si="6"/>
        <v>-1</v>
      </c>
      <c r="L52" s="176"/>
      <c r="M52" s="173"/>
      <c r="N52" s="127"/>
      <c r="O52" s="177"/>
      <c r="P52" s="173"/>
      <c r="Q52" s="127"/>
    </row>
    <row r="53" spans="1:17" x14ac:dyDescent="0.25">
      <c r="A53" s="164" t="s">
        <v>63</v>
      </c>
      <c r="B53" s="128"/>
      <c r="C53" s="891" t="s">
        <v>294</v>
      </c>
      <c r="D53" s="892"/>
      <c r="E53" s="892"/>
      <c r="F53" s="892"/>
      <c r="G53" s="893"/>
      <c r="H53" s="166"/>
      <c r="I53" s="166"/>
      <c r="J53" s="167"/>
      <c r="K53" s="168"/>
      <c r="L53" s="176">
        <v>11525280.643961906</v>
      </c>
      <c r="M53" s="173"/>
      <c r="N53" s="127"/>
      <c r="O53" s="177">
        <v>30000000</v>
      </c>
      <c r="P53" s="173">
        <f>O53/$O$57</f>
        <v>1.237294060668726E-3</v>
      </c>
      <c r="Q53" s="127">
        <f>O53/L53-1</f>
        <v>1.6029734916448213</v>
      </c>
    </row>
    <row r="54" spans="1:17" x14ac:dyDescent="0.25">
      <c r="A54" s="164"/>
      <c r="B54" s="128"/>
      <c r="C54" s="179" t="s">
        <v>97</v>
      </c>
      <c r="D54" s="180"/>
      <c r="E54" s="180"/>
      <c r="F54" s="180"/>
      <c r="G54" s="181"/>
      <c r="H54" s="166">
        <v>37300000</v>
      </c>
      <c r="I54" s="166">
        <v>105159400</v>
      </c>
      <c r="J54" s="167">
        <f>I54/$I$57</f>
        <v>5.2201605773921148E-3</v>
      </c>
      <c r="K54" s="168">
        <f t="shared" si="6"/>
        <v>1.8192868632707775</v>
      </c>
      <c r="L54" s="176"/>
      <c r="M54" s="173"/>
      <c r="N54" s="127"/>
      <c r="O54" s="177"/>
      <c r="P54" s="173"/>
      <c r="Q54" s="127"/>
    </row>
    <row r="55" spans="1:17" ht="15.75" thickBot="1" x14ac:dyDescent="0.3">
      <c r="A55" s="182"/>
      <c r="B55" s="183"/>
      <c r="C55" s="894" t="s">
        <v>98</v>
      </c>
      <c r="D55" s="895"/>
      <c r="E55" s="895"/>
      <c r="F55" s="895"/>
      <c r="G55" s="896"/>
      <c r="H55" s="184"/>
      <c r="I55" s="184">
        <v>5000000</v>
      </c>
      <c r="J55" s="185"/>
      <c r="K55" s="186"/>
      <c r="L55" s="187"/>
      <c r="M55" s="188"/>
      <c r="N55" s="78"/>
      <c r="O55" s="189"/>
      <c r="P55" s="188"/>
      <c r="Q55" s="78"/>
    </row>
    <row r="56" spans="1:17" ht="15.75" thickBot="1" x14ac:dyDescent="0.3">
      <c r="A56" s="190"/>
      <c r="B56" s="191"/>
      <c r="C56" s="192" t="s">
        <v>99</v>
      </c>
      <c r="D56" s="193"/>
      <c r="E56" s="193"/>
      <c r="F56" s="193"/>
      <c r="G56" s="193"/>
      <c r="H56" s="194">
        <f>+H38+H41</f>
        <v>511600000</v>
      </c>
      <c r="I56" s="194">
        <f>+I38+I41</f>
        <v>860159400</v>
      </c>
      <c r="J56" s="195">
        <f>I56/$I$57</f>
        <v>4.2698704919895469E-2</v>
      </c>
      <c r="K56" s="196">
        <f t="shared" si="6"/>
        <v>0.68131235340109453</v>
      </c>
      <c r="L56" s="197">
        <f>+L38+L41</f>
        <v>1115125800</v>
      </c>
      <c r="M56" s="195">
        <f>L56/$L$58</f>
        <v>4.8845913898693263E-2</v>
      </c>
      <c r="N56" s="198">
        <f>L56/I56-1</f>
        <v>0.29641761747880691</v>
      </c>
      <c r="O56" s="199">
        <f>O38+O41</f>
        <v>740400000</v>
      </c>
      <c r="P56" s="195">
        <f>O56/$O$57</f>
        <v>3.053641741730416E-2</v>
      </c>
      <c r="Q56" s="198">
        <f>O56/L56-1</f>
        <v>-0.33603903703062021</v>
      </c>
    </row>
    <row r="57" spans="1:17" s="256" customFormat="1" ht="6" customHeight="1" thickBot="1" x14ac:dyDescent="0.3">
      <c r="A57" s="247"/>
      <c r="B57" s="248"/>
      <c r="C57" s="249"/>
      <c r="D57" s="249"/>
      <c r="E57" s="249"/>
      <c r="F57" s="249"/>
      <c r="G57" s="249"/>
      <c r="H57" s="250">
        <v>19907272</v>
      </c>
      <c r="I57" s="250">
        <v>20144859232</v>
      </c>
      <c r="J57" s="251">
        <f>I57/$I$57</f>
        <v>1</v>
      </c>
      <c r="K57" s="252"/>
      <c r="L57" s="253">
        <f>L58</f>
        <v>22829459232</v>
      </c>
      <c r="M57" s="251"/>
      <c r="N57" s="254"/>
      <c r="O57" s="255">
        <f>O58</f>
        <v>24246459232</v>
      </c>
      <c r="P57" s="251"/>
      <c r="Q57" s="254"/>
    </row>
    <row r="58" spans="1:17" ht="15.75" x14ac:dyDescent="0.25">
      <c r="A58" s="200"/>
      <c r="B58" s="201"/>
      <c r="C58" s="202" t="s">
        <v>100</v>
      </c>
      <c r="D58" s="203"/>
      <c r="E58" s="203"/>
      <c r="F58" s="203"/>
      <c r="G58" s="204"/>
      <c r="H58" s="205">
        <v>19092859232</v>
      </c>
      <c r="I58" s="205">
        <f>+I19+I28+I35+I56</f>
        <v>20144859232</v>
      </c>
      <c r="J58" s="206">
        <f>I58/$I$57</f>
        <v>1</v>
      </c>
      <c r="K58" s="207">
        <f>I58/H58-1</f>
        <v>5.5099133514629806E-2</v>
      </c>
      <c r="L58" s="208">
        <f>+L19+L28+L35+L56</f>
        <v>22829459232</v>
      </c>
      <c r="M58" s="206">
        <f>L58/$L$58</f>
        <v>1</v>
      </c>
      <c r="N58" s="209">
        <f>L58/I58-1</f>
        <v>0.13326476839984691</v>
      </c>
      <c r="O58" s="210">
        <f>+O19+O28+O35+O56</f>
        <v>24246459232</v>
      </c>
      <c r="P58" s="206">
        <f>P19+P28+P35+P56</f>
        <v>1</v>
      </c>
      <c r="Q58" s="209">
        <f>O58/L58-1</f>
        <v>6.2068925312685153E-2</v>
      </c>
    </row>
    <row r="59" spans="1:17" ht="15.75" x14ac:dyDescent="0.25">
      <c r="A59" s="211"/>
      <c r="B59" s="212"/>
      <c r="C59" s="213" t="s">
        <v>101</v>
      </c>
      <c r="D59" s="214"/>
      <c r="E59" s="214"/>
      <c r="F59" s="214"/>
      <c r="G59" s="214"/>
      <c r="H59" s="114">
        <v>-110700000</v>
      </c>
      <c r="I59" s="114"/>
      <c r="J59" s="215"/>
      <c r="K59" s="216"/>
      <c r="L59" s="218"/>
      <c r="M59" s="215"/>
      <c r="N59" s="217"/>
      <c r="O59" s="219"/>
      <c r="P59" s="215"/>
      <c r="Q59" s="217"/>
    </row>
    <row r="60" spans="1:17" ht="15.75" x14ac:dyDescent="0.25">
      <c r="A60" s="211"/>
      <c r="B60" s="212"/>
      <c r="C60" s="213" t="s">
        <v>102</v>
      </c>
      <c r="D60" s="214"/>
      <c r="E60" s="214"/>
      <c r="F60" s="214"/>
      <c r="G60" s="214"/>
      <c r="H60" s="114">
        <v>-189300000</v>
      </c>
      <c r="I60" s="114"/>
      <c r="J60" s="215"/>
      <c r="K60" s="216"/>
      <c r="L60" s="218"/>
      <c r="M60" s="215"/>
      <c r="N60" s="217"/>
      <c r="O60" s="219"/>
      <c r="P60" s="215"/>
      <c r="Q60" s="217"/>
    </row>
    <row r="61" spans="1:17" ht="15.75" x14ac:dyDescent="0.25">
      <c r="A61" s="211"/>
      <c r="B61" s="212"/>
      <c r="C61" s="213" t="s">
        <v>103</v>
      </c>
      <c r="D61" s="214"/>
      <c r="E61" s="214"/>
      <c r="F61" s="214"/>
      <c r="G61" s="214"/>
      <c r="H61" s="114">
        <v>36223000</v>
      </c>
      <c r="I61" s="114"/>
      <c r="J61" s="215"/>
      <c r="K61" s="216"/>
      <c r="L61" s="218"/>
      <c r="M61" s="215"/>
      <c r="N61" s="217"/>
      <c r="O61" s="219"/>
      <c r="P61" s="215"/>
      <c r="Q61" s="217"/>
    </row>
    <row r="62" spans="1:17" ht="16.5" thickBot="1" x14ac:dyDescent="0.3">
      <c r="A62" s="220"/>
      <c r="B62" s="221"/>
      <c r="C62" s="222" t="s">
        <v>104</v>
      </c>
      <c r="D62" s="223"/>
      <c r="E62" s="223"/>
      <c r="F62" s="223"/>
      <c r="G62" s="223"/>
      <c r="H62" s="224">
        <v>-28000000</v>
      </c>
      <c r="I62" s="224"/>
      <c r="J62" s="225"/>
      <c r="K62" s="226"/>
      <c r="L62" s="227"/>
      <c r="M62" s="225"/>
      <c r="N62" s="228"/>
      <c r="O62" s="229"/>
      <c r="P62" s="225"/>
      <c r="Q62" s="228"/>
    </row>
    <row r="63" spans="1:17" ht="18.75" thickBot="1" x14ac:dyDescent="0.3">
      <c r="A63" s="230"/>
      <c r="B63" s="231"/>
      <c r="C63" s="879" t="s">
        <v>105</v>
      </c>
      <c r="D63" s="880"/>
      <c r="E63" s="880"/>
      <c r="F63" s="880"/>
      <c r="G63" s="880"/>
      <c r="H63" s="232">
        <f>H58+(SUM(H59:H62))</f>
        <v>18801082232</v>
      </c>
      <c r="I63" s="232">
        <f>I58+(SUM(I59:I62))</f>
        <v>20144859232</v>
      </c>
      <c r="J63" s="195">
        <f>I63/$I$57</f>
        <v>1</v>
      </c>
      <c r="K63" s="196">
        <f>I63/H63-1</f>
        <v>7.1473385596540373E-2</v>
      </c>
      <c r="L63" s="233">
        <f>L58+(SUM(L59:L62))</f>
        <v>22829459232</v>
      </c>
      <c r="M63" s="195">
        <f>L63/$L$57</f>
        <v>1</v>
      </c>
      <c r="N63" s="198">
        <f>L63/I63-1</f>
        <v>0.13326476839984691</v>
      </c>
      <c r="O63" s="234">
        <f>O58+(SUM(O59:O62))</f>
        <v>24246459232</v>
      </c>
      <c r="P63" s="195">
        <f>O63/$O$57</f>
        <v>1</v>
      </c>
      <c r="Q63" s="198">
        <f>O63/L63-1</f>
        <v>6.2068925312685153E-2</v>
      </c>
    </row>
    <row r="64" spans="1:17" x14ac:dyDescent="0.25">
      <c r="A64" s="235"/>
      <c r="B64" s="235"/>
      <c r="C64" s="235"/>
      <c r="D64" s="235"/>
      <c r="E64" s="235"/>
      <c r="F64" s="235"/>
      <c r="G64" s="235"/>
      <c r="H64" s="236"/>
      <c r="I64" s="237"/>
      <c r="J64" s="238"/>
      <c r="K64" s="239"/>
      <c r="L64" s="239"/>
      <c r="M64" s="238"/>
      <c r="N64" s="239"/>
      <c r="O64" s="239"/>
      <c r="P64" s="240"/>
      <c r="Q64" s="240"/>
    </row>
    <row r="65" spans="1:17" ht="15.75" x14ac:dyDescent="0.25">
      <c r="A65" s="235"/>
      <c r="B65" s="235"/>
      <c r="C65" s="241" t="s">
        <v>106</v>
      </c>
      <c r="D65" s="235"/>
      <c r="E65" s="235"/>
      <c r="F65" s="235"/>
      <c r="G65" s="235"/>
      <c r="H65" s="236"/>
      <c r="I65" s="237"/>
      <c r="J65" s="238"/>
      <c r="K65" s="239"/>
      <c r="L65" s="239"/>
      <c r="M65" s="238"/>
      <c r="N65" s="239"/>
      <c r="O65" s="239"/>
      <c r="P65" s="240"/>
      <c r="Q65" s="240"/>
    </row>
    <row r="66" spans="1:17" x14ac:dyDescent="0.25">
      <c r="A66" s="235"/>
      <c r="B66" s="235"/>
      <c r="C66" s="876" t="s">
        <v>107</v>
      </c>
      <c r="D66" s="876"/>
      <c r="E66" s="876"/>
      <c r="F66" s="876"/>
      <c r="G66" s="876"/>
      <c r="H66" s="242"/>
      <c r="I66" s="243"/>
      <c r="J66" s="244"/>
      <c r="K66" s="245"/>
      <c r="L66" s="245"/>
      <c r="M66" s="244"/>
      <c r="N66" s="245"/>
      <c r="O66" s="245">
        <f>SUM(O19,O22,O24,O26,O32,O40,O43,O44,O46,O48,O53,O39)</f>
        <v>23645749232</v>
      </c>
      <c r="P66" s="240"/>
      <c r="Q66" s="240"/>
    </row>
    <row r="67" spans="1:17" x14ac:dyDescent="0.25">
      <c r="A67" s="235"/>
      <c r="B67" s="235"/>
      <c r="C67" s="876" t="s">
        <v>108</v>
      </c>
      <c r="D67" s="876"/>
      <c r="E67" s="876"/>
      <c r="F67" s="876"/>
      <c r="G67" s="876"/>
      <c r="H67" s="242"/>
      <c r="I67" s="243"/>
      <c r="J67" s="244"/>
      <c r="K67" s="245"/>
      <c r="L67" s="245"/>
      <c r="M67" s="244"/>
      <c r="N67" s="245"/>
      <c r="O67" s="245">
        <f>SUM(O23,O25,O27,O33,O34,O49,O50)</f>
        <v>384000000</v>
      </c>
      <c r="P67" s="240"/>
      <c r="Q67" s="240"/>
    </row>
    <row r="68" spans="1:17" x14ac:dyDescent="0.25">
      <c r="A68" s="235"/>
      <c r="B68" s="235"/>
      <c r="C68" s="876" t="s">
        <v>109</v>
      </c>
      <c r="D68" s="876"/>
      <c r="E68" s="876"/>
      <c r="F68" s="876"/>
      <c r="G68" s="876"/>
      <c r="H68" s="242"/>
      <c r="I68" s="243"/>
      <c r="J68" s="244"/>
      <c r="K68" s="245"/>
      <c r="L68" s="245"/>
      <c r="M68" s="244"/>
      <c r="N68" s="245"/>
      <c r="O68" s="245">
        <f>SUM(O51)</f>
        <v>216710000</v>
      </c>
      <c r="P68" s="240"/>
      <c r="Q68" s="240"/>
    </row>
    <row r="69" spans="1:17" ht="24" customHeight="1" x14ac:dyDescent="0.25">
      <c r="A69" s="246" t="s">
        <v>110</v>
      </c>
      <c r="B69" s="877" t="s">
        <v>111</v>
      </c>
      <c r="C69" s="877"/>
      <c r="D69" s="877"/>
      <c r="E69" s="877"/>
      <c r="F69" s="877"/>
      <c r="G69" s="877"/>
      <c r="H69" s="877"/>
      <c r="I69" s="877"/>
      <c r="J69" s="877"/>
      <c r="K69" s="877"/>
      <c r="L69" s="877"/>
      <c r="M69" s="877"/>
      <c r="N69" s="877"/>
      <c r="O69" s="877"/>
      <c r="P69" s="877"/>
      <c r="Q69" s="877"/>
    </row>
    <row r="70" spans="1:17" ht="33.75" customHeight="1" x14ac:dyDescent="0.25">
      <c r="A70" s="246" t="s">
        <v>112</v>
      </c>
      <c r="B70" s="878" t="s">
        <v>291</v>
      </c>
      <c r="C70" s="878"/>
      <c r="D70" s="878"/>
      <c r="E70" s="878"/>
      <c r="F70" s="878"/>
      <c r="G70" s="878"/>
      <c r="H70" s="878"/>
      <c r="I70" s="878"/>
      <c r="J70" s="878"/>
      <c r="K70" s="878"/>
      <c r="L70" s="878"/>
      <c r="M70" s="878"/>
      <c r="N70" s="878"/>
      <c r="O70" s="878"/>
      <c r="P70" s="878"/>
      <c r="Q70" s="878"/>
    </row>
    <row r="71" spans="1:17" s="871" customFormat="1" ht="18.75" customHeight="1" x14ac:dyDescent="0.25">
      <c r="A71" s="246" t="s">
        <v>301</v>
      </c>
      <c r="B71" s="878" t="s">
        <v>302</v>
      </c>
      <c r="C71" s="878"/>
      <c r="D71" s="878"/>
      <c r="E71" s="878"/>
      <c r="F71" s="878"/>
      <c r="G71" s="878"/>
      <c r="H71" s="878"/>
      <c r="I71" s="878"/>
      <c r="J71" s="878"/>
      <c r="K71" s="878"/>
      <c r="L71" s="878"/>
      <c r="M71" s="878"/>
      <c r="N71" s="878"/>
      <c r="O71" s="878"/>
      <c r="P71" s="878"/>
      <c r="Q71" s="878"/>
    </row>
    <row r="72" spans="1:17" ht="16.5" x14ac:dyDescent="0.25">
      <c r="B72" s="872"/>
    </row>
    <row r="73" spans="1:17" x14ac:dyDescent="0.25">
      <c r="A73" s="683" t="s">
        <v>2</v>
      </c>
    </row>
  </sheetData>
  <mergeCells count="47">
    <mergeCell ref="B71:Q71"/>
    <mergeCell ref="A6:D6"/>
    <mergeCell ref="J6:K6"/>
    <mergeCell ref="A1:Q1"/>
    <mergeCell ref="A4:D4"/>
    <mergeCell ref="J4:K4"/>
    <mergeCell ref="A5:D5"/>
    <mergeCell ref="J5:K5"/>
    <mergeCell ref="A10:A12"/>
    <mergeCell ref="B10:B12"/>
    <mergeCell ref="C10:G12"/>
    <mergeCell ref="H10:H12"/>
    <mergeCell ref="I10:I12"/>
    <mergeCell ref="A7:D7"/>
    <mergeCell ref="J7:K7"/>
    <mergeCell ref="A8:H8"/>
    <mergeCell ref="J8:K8"/>
    <mergeCell ref="A9:I9"/>
    <mergeCell ref="C19:G19"/>
    <mergeCell ref="J10:J12"/>
    <mergeCell ref="K10:K12"/>
    <mergeCell ref="C16:G16"/>
    <mergeCell ref="C17:G17"/>
    <mergeCell ref="L10:L12"/>
    <mergeCell ref="M10:M12"/>
    <mergeCell ref="P10:P12"/>
    <mergeCell ref="Q10:Q12"/>
    <mergeCell ref="C13:G13"/>
    <mergeCell ref="N10:N12"/>
    <mergeCell ref="O10:O12"/>
    <mergeCell ref="C63:G63"/>
    <mergeCell ref="C22:G22"/>
    <mergeCell ref="C23:G23"/>
    <mergeCell ref="C24:G24"/>
    <mergeCell ref="C25:G25"/>
    <mergeCell ref="C26:G26"/>
    <mergeCell ref="C27:G27"/>
    <mergeCell ref="C28:G28"/>
    <mergeCell ref="C31:G31"/>
    <mergeCell ref="C35:G35"/>
    <mergeCell ref="C53:G53"/>
    <mergeCell ref="C55:G55"/>
    <mergeCell ref="C66:G66"/>
    <mergeCell ref="C67:G67"/>
    <mergeCell ref="C68:G68"/>
    <mergeCell ref="B69:Q69"/>
    <mergeCell ref="B70:Q70"/>
  </mergeCells>
  <hyperlinks>
    <hyperlink ref="A73" location="'0 Seznam'!A1" display="Seznam"/>
  </hyperlinks>
  <pageMargins left="0.7" right="0.7" top="0.78740157499999996" bottom="0.78740157499999996" header="0.3" footer="0.3"/>
  <pageSetup paperSize="8" orientation="landscape" r:id="rId1"/>
  <headerFooter>
    <oddHeader xml:space="preserve">&amp;LČ. j.: MSMT-2019/2019-1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6"/>
  <sheetViews>
    <sheetView zoomScale="85" zoomScaleNormal="85" workbookViewId="0">
      <selection sqref="A1:H1"/>
    </sheetView>
  </sheetViews>
  <sheetFormatPr defaultRowHeight="15" x14ac:dyDescent="0.25"/>
  <cols>
    <col min="1" max="1" width="11.140625" customWidth="1"/>
    <col min="2" max="2" width="60.7109375" customWidth="1"/>
    <col min="3" max="8" width="21.28515625" customWidth="1"/>
  </cols>
  <sheetData>
    <row r="1" spans="1:8" ht="27.75" x14ac:dyDescent="0.4">
      <c r="A1" s="1" t="s">
        <v>113</v>
      </c>
      <c r="B1" s="258"/>
      <c r="C1" s="258"/>
      <c r="D1" s="259"/>
    </row>
    <row r="2" spans="1:8" ht="27.75" x14ac:dyDescent="0.4">
      <c r="A2" s="260" t="s">
        <v>143</v>
      </c>
      <c r="B2" s="259"/>
      <c r="C2" s="259"/>
      <c r="D2" s="259"/>
    </row>
    <row r="3" spans="1:8" ht="27.75" x14ac:dyDescent="0.4">
      <c r="A3" s="260"/>
      <c r="B3" s="259"/>
      <c r="C3" s="259"/>
      <c r="D3" s="259"/>
    </row>
    <row r="4" spans="1:8" ht="28.5" thickBot="1" x14ac:dyDescent="0.45">
      <c r="A4" s="260"/>
      <c r="B4" s="259"/>
      <c r="C4" s="259"/>
      <c r="D4" s="259"/>
    </row>
    <row r="5" spans="1:8" x14ac:dyDescent="0.25">
      <c r="A5" s="964" t="s">
        <v>114</v>
      </c>
      <c r="B5" s="962" t="s">
        <v>115</v>
      </c>
      <c r="C5" s="966" t="s">
        <v>144</v>
      </c>
      <c r="D5" s="967"/>
      <c r="E5" s="967"/>
      <c r="F5" s="967"/>
      <c r="G5" s="966" t="s">
        <v>151</v>
      </c>
      <c r="H5" s="968"/>
    </row>
    <row r="6" spans="1:8" ht="29.25" thickBot="1" x14ac:dyDescent="0.3">
      <c r="A6" s="965"/>
      <c r="B6" s="963"/>
      <c r="C6" s="270" t="s">
        <v>145</v>
      </c>
      <c r="D6" s="271" t="s">
        <v>146</v>
      </c>
      <c r="E6" s="272" t="s">
        <v>147</v>
      </c>
      <c r="F6" s="273" t="s">
        <v>148</v>
      </c>
      <c r="G6" s="274" t="s">
        <v>149</v>
      </c>
      <c r="H6" s="291" t="s">
        <v>150</v>
      </c>
    </row>
    <row r="7" spans="1:8" x14ac:dyDescent="0.25">
      <c r="A7" s="268">
        <v>11000</v>
      </c>
      <c r="B7" s="269" t="s">
        <v>116</v>
      </c>
      <c r="C7" s="275">
        <v>0.17695264944429348</v>
      </c>
      <c r="D7" s="276">
        <v>2666220050.139895</v>
      </c>
      <c r="E7" s="276"/>
      <c r="F7" s="277">
        <f>D7-E7</f>
        <v>2666220050.139895</v>
      </c>
      <c r="G7" s="278">
        <f>F7/$D$33</f>
        <v>0.17695264944429348</v>
      </c>
      <c r="H7" s="292">
        <f>0.96/($G$33-0.04)*G7</f>
        <v>0.17769266393013733</v>
      </c>
    </row>
    <row r="8" spans="1:8" x14ac:dyDescent="0.25">
      <c r="A8" s="261">
        <v>12000</v>
      </c>
      <c r="B8" s="262" t="s">
        <v>117</v>
      </c>
      <c r="C8" s="279">
        <v>3.0697647090169203E-2</v>
      </c>
      <c r="D8" s="280">
        <v>462534369.62351847</v>
      </c>
      <c r="E8" s="280"/>
      <c r="F8" s="281">
        <f t="shared" ref="F8:F32" si="0">D8-E8</f>
        <v>462534369.62351847</v>
      </c>
      <c r="G8" s="282">
        <f t="shared" ref="G8:G26" si="1">F8/$D$33</f>
        <v>3.0697647090169203E-2</v>
      </c>
      <c r="H8" s="293">
        <f t="shared" ref="H8:H26" si="2">0.96/($G$33-0.04)*G8</f>
        <v>3.082602439109907E-2</v>
      </c>
    </row>
    <row r="9" spans="1:8" x14ac:dyDescent="0.25">
      <c r="A9" s="261">
        <v>13000</v>
      </c>
      <c r="B9" s="263" t="s">
        <v>118</v>
      </c>
      <c r="C9" s="279">
        <v>2.4480364943767239E-2</v>
      </c>
      <c r="D9" s="280">
        <v>368855962.6136691</v>
      </c>
      <c r="E9" s="280"/>
      <c r="F9" s="281">
        <f t="shared" si="0"/>
        <v>368855962.6136691</v>
      </c>
      <c r="G9" s="282">
        <f t="shared" si="1"/>
        <v>2.4480364943767239E-2</v>
      </c>
      <c r="H9" s="293">
        <f t="shared" si="2"/>
        <v>2.4582741623257617E-2</v>
      </c>
    </row>
    <row r="10" spans="1:8" x14ac:dyDescent="0.25">
      <c r="A10" s="261">
        <v>14000</v>
      </c>
      <c r="B10" s="263" t="s">
        <v>119</v>
      </c>
      <c r="C10" s="279">
        <v>0.11296414550828111</v>
      </c>
      <c r="D10" s="280">
        <v>1702078327.9987934</v>
      </c>
      <c r="E10" s="276"/>
      <c r="F10" s="277">
        <f t="shared" si="0"/>
        <v>1702078327.9987934</v>
      </c>
      <c r="G10" s="282">
        <f t="shared" si="1"/>
        <v>0.11296414550828111</v>
      </c>
      <c r="H10" s="293">
        <f t="shared" si="2"/>
        <v>0.11343656061096324</v>
      </c>
    </row>
    <row r="11" spans="1:8" x14ac:dyDescent="0.25">
      <c r="A11" s="261">
        <v>15000</v>
      </c>
      <c r="B11" s="263" t="s">
        <v>120</v>
      </c>
      <c r="C11" s="279">
        <v>6.302830235248319E-2</v>
      </c>
      <c r="D11" s="280">
        <v>949673960.7245791</v>
      </c>
      <c r="E11" s="276"/>
      <c r="F11" s="277">
        <f t="shared" si="0"/>
        <v>949673960.7245791</v>
      </c>
      <c r="G11" s="282">
        <f t="shared" si="1"/>
        <v>6.302830235248319E-2</v>
      </c>
      <c r="H11" s="293">
        <f t="shared" si="2"/>
        <v>6.3291886180730228E-2</v>
      </c>
    </row>
    <row r="12" spans="1:8" x14ac:dyDescent="0.25">
      <c r="A12" s="261">
        <v>16000</v>
      </c>
      <c r="B12" s="263" t="s">
        <v>121</v>
      </c>
      <c r="C12" s="279">
        <v>1.5635332773601272E-2</v>
      </c>
      <c r="D12" s="280">
        <v>235584139.95213276</v>
      </c>
      <c r="E12" s="280"/>
      <c r="F12" s="281">
        <f t="shared" si="0"/>
        <v>235584139.95213276</v>
      </c>
      <c r="G12" s="282">
        <f t="shared" si="1"/>
        <v>1.5635332773601272E-2</v>
      </c>
      <c r="H12" s="293">
        <f t="shared" si="2"/>
        <v>1.5700719603240668E-2</v>
      </c>
    </row>
    <row r="13" spans="1:8" x14ac:dyDescent="0.25">
      <c r="A13" s="261">
        <v>17000</v>
      </c>
      <c r="B13" s="263" t="s">
        <v>122</v>
      </c>
      <c r="C13" s="279">
        <v>2.7767836860885183E-2</v>
      </c>
      <c r="D13" s="280">
        <v>418389685.71540231</v>
      </c>
      <c r="E13" s="280"/>
      <c r="F13" s="281">
        <f t="shared" si="0"/>
        <v>418389685.71540231</v>
      </c>
      <c r="G13" s="282">
        <f t="shared" si="1"/>
        <v>2.776783686088518E-2</v>
      </c>
      <c r="H13" s="293">
        <f t="shared" si="2"/>
        <v>2.7883961720174572E-2</v>
      </c>
    </row>
    <row r="14" spans="1:8" x14ac:dyDescent="0.25">
      <c r="A14" s="261">
        <v>18000</v>
      </c>
      <c r="B14" s="262" t="s">
        <v>123</v>
      </c>
      <c r="C14" s="279">
        <v>1.7110073746407363E-2</v>
      </c>
      <c r="D14" s="280">
        <v>257804682.92115027</v>
      </c>
      <c r="E14" s="280">
        <v>2892279.511311831</v>
      </c>
      <c r="F14" s="281">
        <f t="shared" si="0"/>
        <v>254912403.40983844</v>
      </c>
      <c r="G14" s="282">
        <f t="shared" si="1"/>
        <v>1.6918117901490053E-2</v>
      </c>
      <c r="H14" s="293">
        <f t="shared" si="2"/>
        <v>1.6988869327702848E-2</v>
      </c>
    </row>
    <row r="15" spans="1:8" x14ac:dyDescent="0.25">
      <c r="A15" s="261">
        <v>19000</v>
      </c>
      <c r="B15" s="262" t="s">
        <v>124</v>
      </c>
      <c r="C15" s="279">
        <v>1.5316715668543663E-2</v>
      </c>
      <c r="D15" s="280">
        <v>230783401.92142269</v>
      </c>
      <c r="E15" s="280"/>
      <c r="F15" s="281">
        <f t="shared" si="0"/>
        <v>230783401.92142269</v>
      </c>
      <c r="G15" s="282">
        <f t="shared" si="1"/>
        <v>1.5316715668543663E-2</v>
      </c>
      <c r="H15" s="293">
        <f t="shared" si="2"/>
        <v>1.5380770044140011E-2</v>
      </c>
    </row>
    <row r="16" spans="1:8" x14ac:dyDescent="0.25">
      <c r="A16" s="261">
        <v>21000</v>
      </c>
      <c r="B16" s="262" t="s">
        <v>125</v>
      </c>
      <c r="C16" s="279">
        <v>8.5641995489060999E-2</v>
      </c>
      <c r="D16" s="280">
        <v>1290403993.5203614</v>
      </c>
      <c r="E16" s="276"/>
      <c r="F16" s="277">
        <f t="shared" si="0"/>
        <v>1290403993.5203614</v>
      </c>
      <c r="G16" s="282">
        <f t="shared" si="1"/>
        <v>8.5641995489060999E-2</v>
      </c>
      <c r="H16" s="293">
        <f t="shared" si="2"/>
        <v>8.6000149591062336E-2</v>
      </c>
    </row>
    <row r="17" spans="1:8" x14ac:dyDescent="0.25">
      <c r="A17" s="261">
        <v>22000</v>
      </c>
      <c r="B17" s="263" t="s">
        <v>126</v>
      </c>
      <c r="C17" s="279">
        <v>2.2766014147582364E-2</v>
      </c>
      <c r="D17" s="280">
        <v>343025117.58187234</v>
      </c>
      <c r="E17" s="280"/>
      <c r="F17" s="281">
        <f t="shared" si="0"/>
        <v>343025117.58187234</v>
      </c>
      <c r="G17" s="282">
        <f t="shared" si="1"/>
        <v>2.2766014147582364E-2</v>
      </c>
      <c r="H17" s="293">
        <f t="shared" si="2"/>
        <v>2.2861221426518533E-2</v>
      </c>
    </row>
    <row r="18" spans="1:8" x14ac:dyDescent="0.25">
      <c r="A18" s="261">
        <v>23000</v>
      </c>
      <c r="B18" s="263" t="s">
        <v>127</v>
      </c>
      <c r="C18" s="279">
        <v>3.7262882924694832E-2</v>
      </c>
      <c r="D18" s="280">
        <v>561455541.30916595</v>
      </c>
      <c r="E18" s="280"/>
      <c r="F18" s="281">
        <f t="shared" si="0"/>
        <v>561455541.30916595</v>
      </c>
      <c r="G18" s="282">
        <f t="shared" si="1"/>
        <v>3.7262882924694832E-2</v>
      </c>
      <c r="H18" s="293">
        <f t="shared" si="2"/>
        <v>3.7418715986449913E-2</v>
      </c>
    </row>
    <row r="19" spans="1:8" x14ac:dyDescent="0.25">
      <c r="A19" s="261">
        <v>24000</v>
      </c>
      <c r="B19" s="263" t="s">
        <v>128</v>
      </c>
      <c r="C19" s="279">
        <v>2.1880740698916275E-2</v>
      </c>
      <c r="D19" s="280">
        <v>329686329.91125834</v>
      </c>
      <c r="E19" s="280">
        <v>2439365.9048129455</v>
      </c>
      <c r="F19" s="281">
        <f t="shared" si="0"/>
        <v>327246964.00644541</v>
      </c>
      <c r="G19" s="282">
        <f t="shared" si="1"/>
        <v>2.1718843986828284E-2</v>
      </c>
      <c r="H19" s="293">
        <f t="shared" si="2"/>
        <v>2.1809672008994151E-2</v>
      </c>
    </row>
    <row r="20" spans="1:8" x14ac:dyDescent="0.25">
      <c r="A20" s="261">
        <v>25000</v>
      </c>
      <c r="B20" s="263" t="s">
        <v>129</v>
      </c>
      <c r="C20" s="279">
        <v>2.6137333482064571E-2</v>
      </c>
      <c r="D20" s="280">
        <v>393822205.01316547</v>
      </c>
      <c r="E20" s="280">
        <v>1354000.6535411042</v>
      </c>
      <c r="F20" s="281">
        <f t="shared" si="0"/>
        <v>392468204.35962439</v>
      </c>
      <c r="G20" s="282">
        <f t="shared" si="1"/>
        <v>2.6047470680612445E-2</v>
      </c>
      <c r="H20" s="293">
        <f t="shared" si="2"/>
        <v>2.6156400983062163E-2</v>
      </c>
    </row>
    <row r="21" spans="1:8" x14ac:dyDescent="0.25">
      <c r="A21" s="261">
        <v>26000</v>
      </c>
      <c r="B21" s="263" t="s">
        <v>130</v>
      </c>
      <c r="C21" s="279">
        <v>6.9568185242033953E-2</v>
      </c>
      <c r="D21" s="280">
        <v>1048213128.9170076</v>
      </c>
      <c r="E21" s="276">
        <v>7295409.021217349</v>
      </c>
      <c r="F21" s="277">
        <f t="shared" si="0"/>
        <v>1040917719.8957902</v>
      </c>
      <c r="G21" s="282">
        <f t="shared" si="1"/>
        <v>6.90840009171068E-2</v>
      </c>
      <c r="H21" s="293">
        <f t="shared" si="2"/>
        <v>6.9372909625618692E-2</v>
      </c>
    </row>
    <row r="22" spans="1:8" x14ac:dyDescent="0.25">
      <c r="A22" s="261">
        <v>27000</v>
      </c>
      <c r="B22" s="263" t="s">
        <v>131</v>
      </c>
      <c r="C22" s="279">
        <v>5.0938869619039158E-2</v>
      </c>
      <c r="D22" s="280">
        <v>767517389.17873549</v>
      </c>
      <c r="E22" s="280">
        <v>42071633.107231602</v>
      </c>
      <c r="F22" s="281">
        <f t="shared" si="0"/>
        <v>725445756.07150388</v>
      </c>
      <c r="G22" s="282">
        <f t="shared" si="1"/>
        <v>4.8146644369520736E-2</v>
      </c>
      <c r="H22" s="293">
        <f t="shared" si="2"/>
        <v>4.8347993229739039E-2</v>
      </c>
    </row>
    <row r="23" spans="1:8" x14ac:dyDescent="0.25">
      <c r="A23" s="261">
        <v>28000</v>
      </c>
      <c r="B23" s="263" t="s">
        <v>132</v>
      </c>
      <c r="C23" s="279">
        <v>3.1669722564807032E-2</v>
      </c>
      <c r="D23" s="280">
        <v>477181039.95520258</v>
      </c>
      <c r="E23" s="280">
        <v>2665558.5144071449</v>
      </c>
      <c r="F23" s="281">
        <f t="shared" si="0"/>
        <v>474515481.44079542</v>
      </c>
      <c r="G23" s="282">
        <f t="shared" si="1"/>
        <v>3.1492813820403733E-2</v>
      </c>
      <c r="H23" s="293">
        <f t="shared" si="2"/>
        <v>3.1624516501885302E-2</v>
      </c>
    </row>
    <row r="24" spans="1:8" x14ac:dyDescent="0.25">
      <c r="A24" s="261">
        <v>31000</v>
      </c>
      <c r="B24" s="263" t="s">
        <v>133</v>
      </c>
      <c r="C24" s="279">
        <v>3.607290583548764E-2</v>
      </c>
      <c r="D24" s="280">
        <v>543525655.63401461</v>
      </c>
      <c r="E24" s="280"/>
      <c r="F24" s="281">
        <f t="shared" si="0"/>
        <v>543525655.63401461</v>
      </c>
      <c r="G24" s="282">
        <f t="shared" si="1"/>
        <v>3.607290583548764E-2</v>
      </c>
      <c r="H24" s="293">
        <f t="shared" si="2"/>
        <v>3.6223762423103448E-2</v>
      </c>
    </row>
    <row r="25" spans="1:8" x14ac:dyDescent="0.25">
      <c r="A25" s="261">
        <v>41000</v>
      </c>
      <c r="B25" s="263" t="s">
        <v>134</v>
      </c>
      <c r="C25" s="279">
        <v>5.0561949059041211E-2</v>
      </c>
      <c r="D25" s="280">
        <v>761838168.45199037</v>
      </c>
      <c r="E25" s="280"/>
      <c r="F25" s="281">
        <f t="shared" si="0"/>
        <v>761838168.45199037</v>
      </c>
      <c r="G25" s="282">
        <f>F25/$D$33</f>
        <v>5.0561949059041204E-2</v>
      </c>
      <c r="H25" s="293">
        <f t="shared" si="2"/>
        <v>5.0773398703077011E-2</v>
      </c>
    </row>
    <row r="26" spans="1:8" x14ac:dyDescent="0.25">
      <c r="A26" s="261">
        <v>43000</v>
      </c>
      <c r="B26" s="263" t="s">
        <v>135</v>
      </c>
      <c r="C26" s="279">
        <v>2.9546332548840183E-2</v>
      </c>
      <c r="D26" s="280">
        <v>445187028.83066183</v>
      </c>
      <c r="E26" s="280"/>
      <c r="F26" s="281">
        <f t="shared" si="0"/>
        <v>445187028.83066183</v>
      </c>
      <c r="G26" s="282">
        <f t="shared" si="1"/>
        <v>2.9546332548840183E-2</v>
      </c>
      <c r="H26" s="293">
        <f t="shared" si="2"/>
        <v>2.9669895062079548E-2</v>
      </c>
    </row>
    <row r="27" spans="1:8" x14ac:dyDescent="0.25">
      <c r="A27" s="261">
        <v>51000</v>
      </c>
      <c r="B27" s="263" t="s">
        <v>136</v>
      </c>
      <c r="C27" s="279">
        <v>1.772E-2</v>
      </c>
      <c r="D27" s="280">
        <v>266994698.50748</v>
      </c>
      <c r="E27" s="280"/>
      <c r="F27" s="281">
        <f t="shared" si="0"/>
        <v>266994698.50748</v>
      </c>
      <c r="G27" s="282">
        <f>C27</f>
        <v>1.772E-2</v>
      </c>
      <c r="H27" s="293">
        <f>G27</f>
        <v>1.772E-2</v>
      </c>
    </row>
    <row r="28" spans="1:8" x14ac:dyDescent="0.25">
      <c r="A28" s="261">
        <v>52000</v>
      </c>
      <c r="B28" s="263" t="s">
        <v>137</v>
      </c>
      <c r="C28" s="279">
        <v>4.8399999999999997E-3</v>
      </c>
      <c r="D28" s="280">
        <v>72926317.199560001</v>
      </c>
      <c r="E28" s="280"/>
      <c r="F28" s="281">
        <f t="shared" si="0"/>
        <v>72926317.199560001</v>
      </c>
      <c r="G28" s="282">
        <f>C28</f>
        <v>4.8399999999999997E-3</v>
      </c>
      <c r="H28" s="293">
        <f>G28</f>
        <v>4.8399999999999997E-3</v>
      </c>
    </row>
    <row r="29" spans="1:8" x14ac:dyDescent="0.25">
      <c r="A29" s="261">
        <v>53000</v>
      </c>
      <c r="B29" s="263" t="s">
        <v>138</v>
      </c>
      <c r="C29" s="279">
        <v>6.8000000000000005E-3</v>
      </c>
      <c r="D29" s="280">
        <v>102458462.18120001</v>
      </c>
      <c r="E29" s="280"/>
      <c r="F29" s="281">
        <f t="shared" si="0"/>
        <v>102458462.18120001</v>
      </c>
      <c r="G29" s="282">
        <f>C29</f>
        <v>6.8000000000000005E-3</v>
      </c>
      <c r="H29" s="293">
        <f>G29</f>
        <v>6.8000000000000005E-3</v>
      </c>
    </row>
    <row r="30" spans="1:8" x14ac:dyDescent="0.25">
      <c r="A30" s="261">
        <v>54000</v>
      </c>
      <c r="B30" s="263" t="s">
        <v>139</v>
      </c>
      <c r="C30" s="279">
        <v>1.064E-2</v>
      </c>
      <c r="D30" s="280">
        <v>160317358.47176</v>
      </c>
      <c r="E30" s="280"/>
      <c r="F30" s="281">
        <f t="shared" si="0"/>
        <v>160317358.47176</v>
      </c>
      <c r="G30" s="282">
        <f>C30</f>
        <v>1.064E-2</v>
      </c>
      <c r="H30" s="293">
        <f>G30</f>
        <v>1.064E-2</v>
      </c>
    </row>
    <row r="31" spans="1:8" x14ac:dyDescent="0.25">
      <c r="A31" s="261">
        <v>55000</v>
      </c>
      <c r="B31" s="263" t="s">
        <v>140</v>
      </c>
      <c r="C31" s="279">
        <v>5.7999999999999996E-3</v>
      </c>
      <c r="D31" s="280">
        <v>87391041.272199988</v>
      </c>
      <c r="E31" s="280"/>
      <c r="F31" s="281">
        <f t="shared" si="0"/>
        <v>87391041.272199988</v>
      </c>
      <c r="G31" s="282">
        <f>F31/$D$33</f>
        <v>5.7999999999999996E-3</v>
      </c>
      <c r="H31" s="293">
        <f>0.96/($G$33-0.04)*G31</f>
        <v>5.8242555510266344E-3</v>
      </c>
    </row>
    <row r="32" spans="1:8" ht="15.75" thickBot="1" x14ac:dyDescent="0.3">
      <c r="A32" s="264">
        <v>56000</v>
      </c>
      <c r="B32" s="265" t="s">
        <v>141</v>
      </c>
      <c r="C32" s="283">
        <v>8.2000000000000007E-3</v>
      </c>
      <c r="D32" s="284">
        <v>123552851.45380001</v>
      </c>
      <c r="E32" s="284">
        <v>1521186.4229744221</v>
      </c>
      <c r="F32" s="285">
        <f t="shared" si="0"/>
        <v>122031665.03082559</v>
      </c>
      <c r="G32" s="286">
        <f>F32/$D$33</f>
        <v>8.0990413533834592E-3</v>
      </c>
      <c r="H32" s="294">
        <f>0.96/($G$33-0.04)*G32</f>
        <v>8.1329114759375667E-3</v>
      </c>
    </row>
    <row r="33" spans="1:8" ht="15.75" thickBot="1" x14ac:dyDescent="0.3">
      <c r="A33" s="266"/>
      <c r="B33" s="267" t="s">
        <v>142</v>
      </c>
      <c r="C33" s="287">
        <f t="shared" ref="C33:H33" si="3">SUM(C7:C32)</f>
        <v>1</v>
      </c>
      <c r="D33" s="288">
        <f t="shared" si="3"/>
        <v>15067420909</v>
      </c>
      <c r="E33" s="288">
        <f t="shared" si="3"/>
        <v>60239433.135496393</v>
      </c>
      <c r="F33" s="289">
        <f t="shared" si="3"/>
        <v>15007181475.864504</v>
      </c>
      <c r="G33" s="290">
        <f t="shared" si="3"/>
        <v>0.99600200767607705</v>
      </c>
      <c r="H33" s="295">
        <f t="shared" si="3"/>
        <v>0.99999999999999978</v>
      </c>
    </row>
    <row r="34" spans="1:8" s="854" customFormat="1" ht="18" x14ac:dyDescent="0.3">
      <c r="A34" s="518" t="s">
        <v>286</v>
      </c>
      <c r="B34" s="856"/>
      <c r="C34" s="857"/>
      <c r="D34" s="858"/>
      <c r="E34" s="858"/>
      <c r="F34" s="858"/>
      <c r="G34" s="859"/>
      <c r="H34" s="860"/>
    </row>
    <row r="35" spans="1:8" s="854" customFormat="1" ht="18" x14ac:dyDescent="0.3">
      <c r="A35" s="518" t="s">
        <v>293</v>
      </c>
      <c r="B35" s="856"/>
      <c r="C35" s="857"/>
      <c r="D35" s="858"/>
      <c r="E35" s="858"/>
      <c r="F35" s="858"/>
      <c r="G35" s="859"/>
      <c r="H35" s="860"/>
    </row>
    <row r="36" spans="1:8" x14ac:dyDescent="0.25">
      <c r="A36" s="683" t="s">
        <v>2</v>
      </c>
    </row>
  </sheetData>
  <mergeCells count="4">
    <mergeCell ref="B5:B6"/>
    <mergeCell ref="A5:A6"/>
    <mergeCell ref="C5:F5"/>
    <mergeCell ref="G5:H5"/>
  </mergeCells>
  <hyperlinks>
    <hyperlink ref="A36" location="'0 Seznam'!A1" display="Seznam"/>
  </hyperlinks>
  <pageMargins left="0.7" right="0.7" top="0.78740157499999996" bottom="0.78740157499999996" header="0.3" footer="0.3"/>
  <pageSetup paperSize="9" orientation="landscape" r:id="rId1"/>
  <headerFooter>
    <oddHeader xml:space="preserve">&amp;LČ. j.: MSMT-2019/2019-1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3"/>
  <sheetViews>
    <sheetView zoomScale="85" zoomScaleNormal="85" workbookViewId="0">
      <selection activeCell="B13" sqref="B13"/>
    </sheetView>
  </sheetViews>
  <sheetFormatPr defaultRowHeight="15" x14ac:dyDescent="0.25"/>
  <cols>
    <col min="1" max="1" width="0.85546875" customWidth="1"/>
    <col min="2" max="4" width="23.42578125" customWidth="1"/>
    <col min="5" max="12" width="9.42578125" customWidth="1"/>
  </cols>
  <sheetData>
    <row r="1" spans="1:4" ht="27.75" x14ac:dyDescent="0.4">
      <c r="A1" s="1" t="s">
        <v>113</v>
      </c>
      <c r="B1" s="258"/>
      <c r="C1" s="258"/>
      <c r="D1" s="259"/>
    </row>
    <row r="2" spans="1:4" ht="27.75" x14ac:dyDescent="0.4">
      <c r="A2" s="260" t="s">
        <v>300</v>
      </c>
      <c r="B2" s="259"/>
      <c r="C2" s="259"/>
      <c r="D2" s="259"/>
    </row>
    <row r="5" spans="1:4" ht="18.75" x14ac:dyDescent="0.3">
      <c r="A5" s="6"/>
      <c r="B5" s="300" t="s">
        <v>152</v>
      </c>
      <c r="C5" s="6"/>
    </row>
    <row r="6" spans="1:4" x14ac:dyDescent="0.25">
      <c r="A6" s="6"/>
      <c r="B6" s="296" t="s">
        <v>153</v>
      </c>
      <c r="C6" s="297" t="s">
        <v>155</v>
      </c>
      <c r="D6" s="297" t="s">
        <v>156</v>
      </c>
    </row>
    <row r="7" spans="1:4" x14ac:dyDescent="0.25">
      <c r="A7" s="6"/>
      <c r="B7" s="301">
        <v>1</v>
      </c>
      <c r="C7" s="298">
        <v>3.2239215710537658E-2</v>
      </c>
      <c r="D7" s="298">
        <f>1/$C$11*C7</f>
        <v>3.2120509365028735E-2</v>
      </c>
    </row>
    <row r="8" spans="1:4" x14ac:dyDescent="0.25">
      <c r="A8" s="6"/>
      <c r="B8" s="302">
        <v>2</v>
      </c>
      <c r="C8" s="298">
        <v>1.3539563011830236E-2</v>
      </c>
      <c r="D8" s="298">
        <f>1/$C$11*C8</f>
        <v>1.3489709688494059E-2</v>
      </c>
    </row>
    <row r="9" spans="1:4" x14ac:dyDescent="0.25">
      <c r="A9" s="6"/>
      <c r="B9" s="303">
        <v>3</v>
      </c>
      <c r="C9" s="298">
        <v>0.39800823475395808</v>
      </c>
      <c r="D9" s="298">
        <f>1/$C$11*C9</f>
        <v>0.39654274925783739</v>
      </c>
    </row>
    <row r="10" spans="1:4" x14ac:dyDescent="0.25">
      <c r="A10" s="6"/>
      <c r="B10" s="304">
        <v>4</v>
      </c>
      <c r="C10" s="298">
        <v>0.55990864228553949</v>
      </c>
      <c r="D10" s="298">
        <f>1/$C$11*C10</f>
        <v>0.55784703168863981</v>
      </c>
    </row>
    <row r="11" spans="1:4" x14ac:dyDescent="0.25">
      <c r="A11" s="6"/>
      <c r="B11" s="296" t="s">
        <v>154</v>
      </c>
      <c r="C11" s="299">
        <f>SUM(C7:C10)</f>
        <v>1.0036956557618655</v>
      </c>
      <c r="D11" s="299">
        <f>SUM(D7:D10)</f>
        <v>1</v>
      </c>
    </row>
    <row r="13" spans="1:4" x14ac:dyDescent="0.25">
      <c r="B13" s="683" t="s">
        <v>2</v>
      </c>
    </row>
  </sheetData>
  <hyperlinks>
    <hyperlink ref="B13" location="'0 Seznam'!A1" display="Seznam"/>
  </hyperlinks>
  <pageMargins left="0.7" right="0.7" top="0.78740157499999996" bottom="0.78740157499999996" header="0.3" footer="0.3"/>
  <pageSetup paperSize="9" orientation="landscape" r:id="rId1"/>
  <headerFooter>
    <oddHeader xml:space="preserve">&amp;LČ. j.: MSMT-2019/2019-1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D08E"/>
  </sheetPr>
  <dimension ref="A1:R36"/>
  <sheetViews>
    <sheetView zoomScale="85" zoomScaleNormal="85" workbookViewId="0">
      <selection activeCell="R3" sqref="R3"/>
    </sheetView>
  </sheetViews>
  <sheetFormatPr defaultRowHeight="15" x14ac:dyDescent="0.25"/>
  <cols>
    <col min="1" max="1" width="10.5703125" customWidth="1"/>
    <col min="2" max="2" width="45.85546875" customWidth="1"/>
    <col min="3" max="16" width="11" customWidth="1"/>
    <col min="17" max="18" width="15.85546875" customWidth="1"/>
  </cols>
  <sheetData>
    <row r="1" spans="1:18" ht="27.75" x14ac:dyDescent="0.25">
      <c r="A1" s="309" t="s">
        <v>172</v>
      </c>
    </row>
    <row r="2" spans="1:18" s="6" customFormat="1" ht="28.5" thickBot="1" x14ac:dyDescent="0.3">
      <c r="A2" s="309"/>
    </row>
    <row r="3" spans="1:18" ht="15.75" customHeight="1" thickBot="1" x14ac:dyDescent="0.3">
      <c r="A3" s="975" t="s">
        <v>163</v>
      </c>
      <c r="B3" s="976"/>
      <c r="C3" s="355"/>
      <c r="D3" s="356"/>
      <c r="E3" s="356"/>
      <c r="F3" s="357">
        <v>0.2</v>
      </c>
      <c r="G3" s="355"/>
      <c r="H3" s="357">
        <v>0.1</v>
      </c>
      <c r="I3" s="355"/>
      <c r="J3" s="357">
        <v>0.1</v>
      </c>
      <c r="K3" s="355"/>
      <c r="L3" s="357">
        <v>0.5</v>
      </c>
      <c r="M3" s="358"/>
      <c r="N3" s="359">
        <v>3.5000000000000003E-2</v>
      </c>
      <c r="O3" s="358"/>
      <c r="P3" s="359">
        <v>6.5000000000000002E-2</v>
      </c>
      <c r="Q3" s="468">
        <f>SUM(F3:P3)</f>
        <v>1</v>
      </c>
      <c r="R3" s="437">
        <f>'3 Stanovení podílů segmentů'!D7</f>
        <v>3.2120509365028735E-2</v>
      </c>
    </row>
    <row r="4" spans="1:18" ht="30" customHeight="1" x14ac:dyDescent="0.25">
      <c r="A4" s="979" t="s">
        <v>114</v>
      </c>
      <c r="B4" s="977" t="s">
        <v>115</v>
      </c>
      <c r="C4" s="981" t="s">
        <v>157</v>
      </c>
      <c r="D4" s="982"/>
      <c r="E4" s="982"/>
      <c r="F4" s="983"/>
      <c r="G4" s="971" t="s">
        <v>158</v>
      </c>
      <c r="H4" s="972"/>
      <c r="I4" s="971" t="s">
        <v>159</v>
      </c>
      <c r="J4" s="972"/>
      <c r="K4" s="971" t="s">
        <v>160</v>
      </c>
      <c r="L4" s="972"/>
      <c r="M4" s="971" t="s">
        <v>161</v>
      </c>
      <c r="N4" s="972"/>
      <c r="O4" s="971" t="s">
        <v>162</v>
      </c>
      <c r="P4" s="972"/>
      <c r="Q4" s="973" t="s">
        <v>167</v>
      </c>
      <c r="R4" s="973" t="s">
        <v>168</v>
      </c>
    </row>
    <row r="5" spans="1:18" ht="15.75" thickBot="1" x14ac:dyDescent="0.3">
      <c r="A5" s="980"/>
      <c r="B5" s="978"/>
      <c r="C5" s="311" t="s">
        <v>164</v>
      </c>
      <c r="D5" s="326" t="s">
        <v>165</v>
      </c>
      <c r="E5" s="312" t="s">
        <v>142</v>
      </c>
      <c r="F5" s="367" t="s">
        <v>166</v>
      </c>
      <c r="G5" s="335" t="s">
        <v>142</v>
      </c>
      <c r="H5" s="336" t="s">
        <v>166</v>
      </c>
      <c r="I5" s="335" t="s">
        <v>142</v>
      </c>
      <c r="J5" s="336" t="s">
        <v>166</v>
      </c>
      <c r="K5" s="335" t="s">
        <v>142</v>
      </c>
      <c r="L5" s="336" t="s">
        <v>166</v>
      </c>
      <c r="M5" s="335" t="s">
        <v>142</v>
      </c>
      <c r="N5" s="336" t="s">
        <v>166</v>
      </c>
      <c r="O5" s="335" t="s">
        <v>142</v>
      </c>
      <c r="P5" s="336" t="s">
        <v>166</v>
      </c>
      <c r="Q5" s="974"/>
      <c r="R5" s="974"/>
    </row>
    <row r="6" spans="1:18" x14ac:dyDescent="0.25">
      <c r="A6" s="319">
        <v>51000</v>
      </c>
      <c r="B6" s="322" t="s">
        <v>136</v>
      </c>
      <c r="C6" s="313"/>
      <c r="D6" s="315"/>
      <c r="E6" s="317"/>
      <c r="F6" s="346">
        <f>0.5*F12+0.3*F18+0.2*F24</f>
        <v>0.39703200960435359</v>
      </c>
      <c r="G6" s="313"/>
      <c r="H6" s="346">
        <f>H12</f>
        <v>0.46489516680132781</v>
      </c>
      <c r="I6" s="313"/>
      <c r="J6" s="352">
        <f>J12</f>
        <v>0.5052157407195399</v>
      </c>
      <c r="K6" s="313"/>
      <c r="L6" s="346">
        <f>L12</f>
        <v>0.40158396022527043</v>
      </c>
      <c r="M6" s="313"/>
      <c r="N6" s="352">
        <f>0.5*N12+0.3*N18+0.2*N24</f>
        <v>0.82023809523809532</v>
      </c>
      <c r="O6" s="313"/>
      <c r="P6" s="346">
        <f>0.5*P18+0.3*P24+0.2*P30</f>
        <v>0.4506208155084605</v>
      </c>
      <c r="Q6" s="360">
        <f t="array" ref="Q6">SUM($C$3:$P$3*C6:P6)</f>
        <v>0.43520815912697597</v>
      </c>
      <c r="R6" s="361">
        <f>Q6*'3 Stanovení podílů segmentů'!$D$7</f>
        <v>1.3979107750974948E-2</v>
      </c>
    </row>
    <row r="7" spans="1:18" x14ac:dyDescent="0.25">
      <c r="A7" s="319">
        <v>52000</v>
      </c>
      <c r="B7" s="323" t="s">
        <v>137</v>
      </c>
      <c r="C7" s="315"/>
      <c r="D7" s="315"/>
      <c r="E7" s="315"/>
      <c r="F7" s="347">
        <f>0.5*F13+0.3*F19+0.2*F25</f>
        <v>0.12427487222851986</v>
      </c>
      <c r="G7" s="318"/>
      <c r="H7" s="347">
        <f>H13</f>
        <v>0.1220251749544173</v>
      </c>
      <c r="I7" s="318"/>
      <c r="J7" s="348">
        <f t="shared" ref="J7:L9" si="0">J13</f>
        <v>0.16840775013486442</v>
      </c>
      <c r="K7" s="318"/>
      <c r="L7" s="347">
        <f t="shared" si="0"/>
        <v>0.13287376432173906</v>
      </c>
      <c r="M7" s="318"/>
      <c r="N7" s="348">
        <f>0.5*N13+0.3*N19+0.2*N25</f>
        <v>0</v>
      </c>
      <c r="O7" s="318"/>
      <c r="P7" s="347">
        <f>0.5*P19+0.3*P25+0.2*P31</f>
        <v>0.21836763283898855</v>
      </c>
      <c r="Q7" s="362">
        <f t="array" ref="Q7">SUM($C$3:$P$3*C7:P7)</f>
        <v>0.13452904525003595</v>
      </c>
      <c r="R7" s="363">
        <f>Q7*'3 Stanovení podílů segmentů'!$D$7</f>
        <v>4.321141457822154E-3</v>
      </c>
    </row>
    <row r="8" spans="1:18" x14ac:dyDescent="0.25">
      <c r="A8" s="319">
        <v>53000</v>
      </c>
      <c r="B8" s="323" t="s">
        <v>138</v>
      </c>
      <c r="C8" s="315"/>
      <c r="D8" s="315"/>
      <c r="E8" s="315"/>
      <c r="F8" s="348">
        <f>0.5*F14+0.3*F20+0.2*F26</f>
        <v>0.28349000647677502</v>
      </c>
      <c r="G8" s="318"/>
      <c r="H8" s="347">
        <f>H14</f>
        <v>0.14745678364894013</v>
      </c>
      <c r="I8" s="318"/>
      <c r="J8" s="348">
        <f t="shared" si="0"/>
        <v>0.20177629877604578</v>
      </c>
      <c r="K8" s="318"/>
      <c r="L8" s="347">
        <f t="shared" si="0"/>
        <v>0.22413934907654212</v>
      </c>
      <c r="M8" s="318"/>
      <c r="N8" s="348">
        <f>0.5*N14+0.3*N20+0.2*N26</f>
        <v>0.17976190476190476</v>
      </c>
      <c r="O8" s="318"/>
      <c r="P8" s="347">
        <f>0.5*P20+0.3*P26+0.2*P32</f>
        <v>0.18292907100926362</v>
      </c>
      <c r="Q8" s="363">
        <f t="array" ref="Q8">SUM($C$3:$P$3*C8:P8)</f>
        <v>0.22187304035839345</v>
      </c>
      <c r="R8" s="363">
        <f>Q8*'3 Stanovení podílů segmentů'!$D$7</f>
        <v>7.126675070679175E-3</v>
      </c>
    </row>
    <row r="9" spans="1:18" ht="15" customHeight="1" thickBot="1" x14ac:dyDescent="0.3">
      <c r="A9" s="321">
        <v>54000</v>
      </c>
      <c r="B9" s="324" t="s">
        <v>139</v>
      </c>
      <c r="C9" s="314"/>
      <c r="D9" s="315"/>
      <c r="E9" s="316"/>
      <c r="F9" s="349">
        <f>0.5*F15+0.3*F21+0.2*F27</f>
        <v>0.19520311169035148</v>
      </c>
      <c r="G9" s="318"/>
      <c r="H9" s="347">
        <f>H15</f>
        <v>0.26562287459531486</v>
      </c>
      <c r="I9" s="318"/>
      <c r="J9" s="348">
        <f t="shared" si="0"/>
        <v>0.12460021036955002</v>
      </c>
      <c r="K9" s="318"/>
      <c r="L9" s="347">
        <f t="shared" si="0"/>
        <v>0.24140292637644845</v>
      </c>
      <c r="M9" s="318"/>
      <c r="N9" s="348">
        <f>0.5*N15+0.3*N21+0.2*N27</f>
        <v>0</v>
      </c>
      <c r="O9" s="318"/>
      <c r="P9" s="347">
        <f>0.5*P21+0.3*P27+0.2*P33</f>
        <v>0.14808248064328733</v>
      </c>
      <c r="Q9" s="362">
        <f t="array" ref="Q9">SUM($C$3:$P$3*C9:P9)</f>
        <v>0.20838975526459469</v>
      </c>
      <c r="R9" s="363">
        <f>Q9*'3 Stanovení podílů segmentů'!$D$7</f>
        <v>6.6935850855524602E-3</v>
      </c>
    </row>
    <row r="10" spans="1:18" ht="15.75" thickBot="1" x14ac:dyDescent="0.3">
      <c r="A10" s="969" t="s">
        <v>154</v>
      </c>
      <c r="B10" s="970"/>
      <c r="C10" s="329"/>
      <c r="D10" s="329"/>
      <c r="E10" s="329"/>
      <c r="F10" s="350">
        <f>SUM(F6:F9)</f>
        <v>1</v>
      </c>
      <c r="G10" s="330"/>
      <c r="H10" s="351">
        <f>SUM(H6:H9)</f>
        <v>1</v>
      </c>
      <c r="I10" s="330"/>
      <c r="J10" s="350">
        <f>SUM(J6:J9)</f>
        <v>1</v>
      </c>
      <c r="K10" s="330"/>
      <c r="L10" s="351">
        <f>SUM(L6:L9)</f>
        <v>1</v>
      </c>
      <c r="M10" s="330"/>
      <c r="N10" s="350">
        <f>SUM(N6:N9)</f>
        <v>1</v>
      </c>
      <c r="O10" s="330"/>
      <c r="P10" s="351">
        <f>SUM(P6:P9)</f>
        <v>1</v>
      </c>
      <c r="Q10" s="364">
        <f>SUM(Q6:Q9)</f>
        <v>1</v>
      </c>
      <c r="R10" s="365">
        <f>SUM(R6:R9)</f>
        <v>3.2120509365028742E-2</v>
      </c>
    </row>
    <row r="11" spans="1:18" ht="15.75" thickBot="1" x14ac:dyDescent="0.3"/>
    <row r="12" spans="1:18" x14ac:dyDescent="0.25">
      <c r="A12" s="320">
        <v>51000</v>
      </c>
      <c r="B12" s="322" t="s">
        <v>136</v>
      </c>
      <c r="C12" s="337">
        <v>12470</v>
      </c>
      <c r="D12" s="337">
        <v>12967</v>
      </c>
      <c r="E12" s="337">
        <f>C12+D12</f>
        <v>25437</v>
      </c>
      <c r="F12" s="346">
        <f>E12/$E$16</f>
        <v>0.41083743842364534</v>
      </c>
      <c r="G12" s="338">
        <v>1516.1697054233157</v>
      </c>
      <c r="H12" s="346">
        <f>G12/$G$16</f>
        <v>0.46489516680132781</v>
      </c>
      <c r="I12" s="338"/>
      <c r="J12" s="352">
        <v>0.5052157407195399</v>
      </c>
      <c r="K12" s="338">
        <v>105124.34</v>
      </c>
      <c r="L12" s="346">
        <f>K12/$K$16</f>
        <v>0.40158396022527043</v>
      </c>
      <c r="M12" s="338">
        <v>111</v>
      </c>
      <c r="N12" s="346">
        <f>M12/$M$16</f>
        <v>0.77083333333333337</v>
      </c>
      <c r="O12" s="6"/>
      <c r="P12" s="6"/>
    </row>
    <row r="13" spans="1:18" x14ac:dyDescent="0.25">
      <c r="A13" s="319">
        <v>52000</v>
      </c>
      <c r="B13" s="323" t="s">
        <v>137</v>
      </c>
      <c r="C13" s="339">
        <v>1337</v>
      </c>
      <c r="D13" s="339">
        <v>6148</v>
      </c>
      <c r="E13" s="339">
        <f>C13+D13</f>
        <v>7485</v>
      </c>
      <c r="F13" s="347">
        <f>E13/$E$16</f>
        <v>0.12089154485988855</v>
      </c>
      <c r="G13" s="340">
        <v>397.962566136833</v>
      </c>
      <c r="H13" s="347">
        <f>G13/$G$16</f>
        <v>0.1220251749544173</v>
      </c>
      <c r="I13" s="340"/>
      <c r="J13" s="348">
        <v>0.16840775013486442</v>
      </c>
      <c r="K13" s="340">
        <v>34782.93</v>
      </c>
      <c r="L13" s="347">
        <f>K13/$K$16</f>
        <v>0.13287376432173906</v>
      </c>
      <c r="M13" s="340">
        <v>0</v>
      </c>
      <c r="N13" s="347">
        <f>M13/$M$16</f>
        <v>0</v>
      </c>
      <c r="O13" s="6"/>
      <c r="P13" s="6"/>
    </row>
    <row r="14" spans="1:18" x14ac:dyDescent="0.25">
      <c r="A14" s="319">
        <v>53000</v>
      </c>
      <c r="B14" s="323" t="s">
        <v>138</v>
      </c>
      <c r="C14" s="339">
        <v>7552</v>
      </c>
      <c r="D14" s="339">
        <v>9999</v>
      </c>
      <c r="E14" s="339">
        <f>C14+D14</f>
        <v>17551</v>
      </c>
      <c r="F14" s="348">
        <f>E14/$E$16</f>
        <v>0.28346927238956632</v>
      </c>
      <c r="G14" s="340">
        <v>480.9030598574177</v>
      </c>
      <c r="H14" s="347">
        <f>G14/$G$16</f>
        <v>0.14745678364894013</v>
      </c>
      <c r="I14" s="340"/>
      <c r="J14" s="348">
        <v>0.20177629877604578</v>
      </c>
      <c r="K14" s="340">
        <v>58673.91</v>
      </c>
      <c r="L14" s="347">
        <f>K14/$K$16</f>
        <v>0.22413934907654212</v>
      </c>
      <c r="M14" s="340">
        <v>33</v>
      </c>
      <c r="N14" s="347">
        <f>M14/$M$16</f>
        <v>0.22916666666666666</v>
      </c>
      <c r="O14" s="6"/>
      <c r="P14" s="6"/>
    </row>
    <row r="15" spans="1:18" ht="15" customHeight="1" thickBot="1" x14ac:dyDescent="0.3">
      <c r="A15" s="321">
        <v>54000</v>
      </c>
      <c r="B15" s="324" t="s">
        <v>139</v>
      </c>
      <c r="C15" s="341">
        <v>5306</v>
      </c>
      <c r="D15" s="339">
        <v>6136</v>
      </c>
      <c r="E15" s="341">
        <f>C15+D15</f>
        <v>11442</v>
      </c>
      <c r="F15" s="349">
        <f>E15/$E$16</f>
        <v>0.18480174432689978</v>
      </c>
      <c r="G15" s="340">
        <v>866.27993639903457</v>
      </c>
      <c r="H15" s="347">
        <f>G15/$G$16</f>
        <v>0.26562287459531486</v>
      </c>
      <c r="I15" s="340"/>
      <c r="J15" s="348">
        <v>0.12460021036955002</v>
      </c>
      <c r="K15" s="340">
        <v>63193.070000000007</v>
      </c>
      <c r="L15" s="347">
        <f>K15/$K$16</f>
        <v>0.24140292637644845</v>
      </c>
      <c r="M15" s="340">
        <v>0</v>
      </c>
      <c r="N15" s="347">
        <f>M15/$M$16</f>
        <v>0</v>
      </c>
      <c r="O15" s="6"/>
      <c r="P15" s="6"/>
    </row>
    <row r="16" spans="1:18" ht="15.75" thickBot="1" x14ac:dyDescent="0.3">
      <c r="A16" s="327">
        <v>2018</v>
      </c>
      <c r="B16" s="328" t="s">
        <v>154</v>
      </c>
      <c r="C16" s="342">
        <f t="shared" ref="C16:N16" si="1">SUM(C12:C15)</f>
        <v>26665</v>
      </c>
      <c r="D16" s="342">
        <f t="shared" si="1"/>
        <v>35250</v>
      </c>
      <c r="E16" s="342">
        <f t="shared" si="1"/>
        <v>61915</v>
      </c>
      <c r="F16" s="350">
        <f t="shared" si="1"/>
        <v>1</v>
      </c>
      <c r="G16" s="343">
        <f t="shared" si="1"/>
        <v>3261.3152678166007</v>
      </c>
      <c r="H16" s="351">
        <f t="shared" si="1"/>
        <v>1</v>
      </c>
      <c r="I16" s="343">
        <f t="shared" si="1"/>
        <v>0</v>
      </c>
      <c r="J16" s="350">
        <f t="shared" si="1"/>
        <v>1</v>
      </c>
      <c r="K16" s="343">
        <f t="shared" si="1"/>
        <v>261774.25</v>
      </c>
      <c r="L16" s="351">
        <f t="shared" si="1"/>
        <v>1</v>
      </c>
      <c r="M16" s="343">
        <f t="shared" si="1"/>
        <v>144</v>
      </c>
      <c r="N16" s="351">
        <f t="shared" si="1"/>
        <v>1</v>
      </c>
      <c r="O16" s="6"/>
      <c r="P16" s="6"/>
    </row>
    <row r="17" spans="1:16" ht="15.75" thickBot="1" x14ac:dyDescent="0.3">
      <c r="J17" s="334"/>
      <c r="O17" s="6"/>
      <c r="P17" s="6"/>
    </row>
    <row r="18" spans="1:16" x14ac:dyDescent="0.25">
      <c r="A18" s="320">
        <v>51000</v>
      </c>
      <c r="B18" s="322" t="s">
        <v>136</v>
      </c>
      <c r="C18" s="338">
        <v>11774</v>
      </c>
      <c r="D18" s="337">
        <v>10821</v>
      </c>
      <c r="E18" s="337">
        <f>C18+D18</f>
        <v>22595</v>
      </c>
      <c r="F18" s="346">
        <f>E18/$E$22</f>
        <v>0.37059209447269148</v>
      </c>
      <c r="G18" s="333"/>
      <c r="H18" s="333"/>
      <c r="I18" s="333"/>
      <c r="J18" s="333"/>
      <c r="K18" s="333"/>
      <c r="L18" s="332"/>
      <c r="M18" s="338">
        <v>97</v>
      </c>
      <c r="N18" s="352">
        <f>M18/$M$22</f>
        <v>0.8660714285714286</v>
      </c>
      <c r="O18" s="338">
        <v>11543</v>
      </c>
      <c r="P18" s="346">
        <f>O18/$O$22</f>
        <v>0.42754196998731669</v>
      </c>
    </row>
    <row r="19" spans="1:16" x14ac:dyDescent="0.25">
      <c r="A19" s="319">
        <v>52000</v>
      </c>
      <c r="B19" s="323" t="s">
        <v>137</v>
      </c>
      <c r="C19" s="340">
        <v>3072</v>
      </c>
      <c r="D19" s="339">
        <v>6024</v>
      </c>
      <c r="E19" s="339">
        <f>C19+D19</f>
        <v>9096</v>
      </c>
      <c r="F19" s="347">
        <f>E19/$E$22</f>
        <v>0.14918812530752829</v>
      </c>
      <c r="G19" s="333"/>
      <c r="H19" s="333"/>
      <c r="I19" s="333"/>
      <c r="J19" s="333"/>
      <c r="K19" s="333"/>
      <c r="L19" s="332"/>
      <c r="M19" s="340">
        <v>0</v>
      </c>
      <c r="N19" s="348">
        <f>M19/$M$22</f>
        <v>0</v>
      </c>
      <c r="O19" s="340">
        <v>6289</v>
      </c>
      <c r="P19" s="347">
        <f>O19/$O$22</f>
        <v>0.23293870304515593</v>
      </c>
    </row>
    <row r="20" spans="1:16" x14ac:dyDescent="0.25">
      <c r="A20" s="319">
        <v>53000</v>
      </c>
      <c r="B20" s="323" t="s">
        <v>138</v>
      </c>
      <c r="C20" s="340">
        <v>6594</v>
      </c>
      <c r="D20" s="339">
        <v>9986</v>
      </c>
      <c r="E20" s="339">
        <f>C20+D20</f>
        <v>16580</v>
      </c>
      <c r="F20" s="347">
        <f>E20/$E$22</f>
        <v>0.2719370182056749</v>
      </c>
      <c r="G20" s="333"/>
      <c r="H20" s="333"/>
      <c r="I20" s="333"/>
      <c r="J20" s="333"/>
      <c r="K20" s="333"/>
      <c r="L20" s="332"/>
      <c r="M20" s="340">
        <v>15</v>
      </c>
      <c r="N20" s="348">
        <f>M20/$M$22</f>
        <v>0.13392857142857142</v>
      </c>
      <c r="O20" s="340">
        <v>5420</v>
      </c>
      <c r="P20" s="347">
        <f>O20/$O$22</f>
        <v>0.20075175234611942</v>
      </c>
    </row>
    <row r="21" spans="1:16" ht="15" customHeight="1" thickBot="1" x14ac:dyDescent="0.3">
      <c r="A21" s="321">
        <v>54000</v>
      </c>
      <c r="B21" s="324" t="s">
        <v>139</v>
      </c>
      <c r="C21" s="344">
        <v>7818</v>
      </c>
      <c r="D21" s="339">
        <v>4881</v>
      </c>
      <c r="E21" s="341">
        <f>C21+D21</f>
        <v>12699</v>
      </c>
      <c r="F21" s="349">
        <f>E21/$E$22</f>
        <v>0.20828276201410531</v>
      </c>
      <c r="G21" s="333"/>
      <c r="H21" s="333"/>
      <c r="I21" s="333"/>
      <c r="J21" s="333"/>
      <c r="K21" s="333"/>
      <c r="L21" s="332"/>
      <c r="M21" s="340">
        <v>0</v>
      </c>
      <c r="N21" s="348">
        <f>M21/$M$22</f>
        <v>0</v>
      </c>
      <c r="O21" s="340">
        <v>3746.5190000000002</v>
      </c>
      <c r="P21" s="347">
        <f>O21/$O$22</f>
        <v>0.13876757462140796</v>
      </c>
    </row>
    <row r="22" spans="1:16" ht="15.75" thickBot="1" x14ac:dyDescent="0.3">
      <c r="A22" s="327">
        <v>2017</v>
      </c>
      <c r="B22" s="328" t="s">
        <v>154</v>
      </c>
      <c r="C22" s="343">
        <f>SUM(C18:C21)</f>
        <v>29258</v>
      </c>
      <c r="D22" s="342">
        <f>SUM(D18:D21)</f>
        <v>31712</v>
      </c>
      <c r="E22" s="342">
        <f>SUM(E18:E21)</f>
        <v>60970</v>
      </c>
      <c r="F22" s="351">
        <f>SUM(F18:F21)</f>
        <v>0.99999999999999989</v>
      </c>
      <c r="G22" s="333"/>
      <c r="H22" s="333"/>
      <c r="I22" s="333"/>
      <c r="J22" s="333"/>
      <c r="K22" s="333"/>
      <c r="L22" s="332"/>
      <c r="M22" s="343">
        <f>SUM(M18:M21)</f>
        <v>112</v>
      </c>
      <c r="N22" s="350">
        <f>SUM(N18:N21)</f>
        <v>1</v>
      </c>
      <c r="O22" s="343">
        <f>SUM(O18:O21)</f>
        <v>26998.519</v>
      </c>
      <c r="P22" s="351">
        <f>SUM(P18:P21)</f>
        <v>1</v>
      </c>
    </row>
    <row r="23" spans="1:16" ht="15.75" thickBot="1" x14ac:dyDescent="0.3">
      <c r="G23" s="333"/>
      <c r="H23" s="333"/>
      <c r="I23" s="333"/>
      <c r="J23" s="333"/>
      <c r="K23" s="333"/>
      <c r="L23" s="333"/>
    </row>
    <row r="24" spans="1:16" x14ac:dyDescent="0.25">
      <c r="A24" s="320">
        <v>51000</v>
      </c>
      <c r="B24" s="322" t="s">
        <v>136</v>
      </c>
      <c r="C24" s="338">
        <v>12810</v>
      </c>
      <c r="D24" s="337">
        <v>13038</v>
      </c>
      <c r="E24" s="337">
        <f>C24+D24</f>
        <v>25848</v>
      </c>
      <c r="F24" s="346">
        <f>E24/$E$28</f>
        <v>0.40217831025361755</v>
      </c>
      <c r="G24" s="333"/>
      <c r="H24" s="333"/>
      <c r="I24" s="333"/>
      <c r="J24" s="333"/>
      <c r="K24" s="333"/>
      <c r="L24" s="332"/>
      <c r="M24" s="338">
        <v>84</v>
      </c>
      <c r="N24" s="352">
        <f>M24/$M$28</f>
        <v>0.875</v>
      </c>
      <c r="O24" s="338">
        <v>11710</v>
      </c>
      <c r="P24" s="346">
        <f>O24/$O$28</f>
        <v>0.4464004910024188</v>
      </c>
    </row>
    <row r="25" spans="1:16" x14ac:dyDescent="0.25">
      <c r="A25" s="319">
        <v>52000</v>
      </c>
      <c r="B25" s="323" t="s">
        <v>137</v>
      </c>
      <c r="C25" s="340">
        <v>609</v>
      </c>
      <c r="D25" s="339">
        <v>5520</v>
      </c>
      <c r="E25" s="339">
        <f>C25+D25</f>
        <v>6129</v>
      </c>
      <c r="F25" s="347">
        <f>E25/$E$28</f>
        <v>9.5363311031585504E-2</v>
      </c>
      <c r="G25" s="333"/>
      <c r="H25" s="333"/>
      <c r="I25" s="333"/>
      <c r="J25" s="333"/>
      <c r="K25" s="333"/>
      <c r="L25" s="332"/>
      <c r="M25" s="340">
        <v>0</v>
      </c>
      <c r="N25" s="348">
        <f>M25/$M$28</f>
        <v>0</v>
      </c>
      <c r="O25" s="340">
        <v>6190.5</v>
      </c>
      <c r="P25" s="347">
        <f>O25/$O$28</f>
        <v>0.23598994359952807</v>
      </c>
    </row>
    <row r="26" spans="1:16" x14ac:dyDescent="0.25">
      <c r="A26" s="319">
        <v>53000</v>
      </c>
      <c r="B26" s="323" t="s">
        <v>138</v>
      </c>
      <c r="C26" s="340">
        <v>9571</v>
      </c>
      <c r="D26" s="339">
        <v>9766</v>
      </c>
      <c r="E26" s="339">
        <f>C26+D26</f>
        <v>19337</v>
      </c>
      <c r="F26" s="347">
        <f>E26/$E$28</f>
        <v>0.30087132410144701</v>
      </c>
      <c r="G26" s="333"/>
      <c r="H26" s="333"/>
      <c r="I26" s="333"/>
      <c r="J26" s="333"/>
      <c r="K26" s="333"/>
      <c r="L26" s="332"/>
      <c r="M26" s="340">
        <v>12</v>
      </c>
      <c r="N26" s="348">
        <f>M26/$M$28</f>
        <v>0.125</v>
      </c>
      <c r="O26" s="340">
        <v>3544</v>
      </c>
      <c r="P26" s="347">
        <f>O26/$O$28</f>
        <v>0.13510190778074913</v>
      </c>
    </row>
    <row r="27" spans="1:16" ht="15" customHeight="1" thickBot="1" x14ac:dyDescent="0.3">
      <c r="A27" s="321">
        <v>54000</v>
      </c>
      <c r="B27" s="324" t="s">
        <v>139</v>
      </c>
      <c r="C27" s="344">
        <v>8713</v>
      </c>
      <c r="D27" s="339">
        <v>4243</v>
      </c>
      <c r="E27" s="341">
        <f>C27+D27</f>
        <v>12956</v>
      </c>
      <c r="F27" s="349">
        <f>E27/$E$28</f>
        <v>0.20158705461334994</v>
      </c>
      <c r="G27" s="333"/>
      <c r="H27" s="333"/>
      <c r="I27" s="333"/>
      <c r="J27" s="333"/>
      <c r="K27" s="333"/>
      <c r="L27" s="332"/>
      <c r="M27" s="340">
        <v>0</v>
      </c>
      <c r="N27" s="348">
        <f>M27/$M$28</f>
        <v>0</v>
      </c>
      <c r="O27" s="340">
        <v>4787.55</v>
      </c>
      <c r="P27" s="347">
        <f>O27/$O$28</f>
        <v>0.18250765761730403</v>
      </c>
    </row>
    <row r="28" spans="1:16" ht="15.75" thickBot="1" x14ac:dyDescent="0.3">
      <c r="A28" s="327">
        <v>2016</v>
      </c>
      <c r="B28" s="328" t="s">
        <v>154</v>
      </c>
      <c r="C28" s="343">
        <f>SUM(C24:C27)</f>
        <v>31703</v>
      </c>
      <c r="D28" s="342">
        <f>SUM(D24:D27)</f>
        <v>32567</v>
      </c>
      <c r="E28" s="342">
        <f>SUM(E24:E27)</f>
        <v>64270</v>
      </c>
      <c r="F28" s="351">
        <f>SUM(F24:F27)</f>
        <v>1</v>
      </c>
      <c r="G28" s="333"/>
      <c r="H28" s="333"/>
      <c r="I28" s="333"/>
      <c r="J28" s="333"/>
      <c r="K28" s="333"/>
      <c r="L28" s="332"/>
      <c r="M28" s="345">
        <f>SUM(M24:M27)</f>
        <v>96</v>
      </c>
      <c r="N28" s="353">
        <f>SUM(N24:N27)</f>
        <v>1</v>
      </c>
      <c r="O28" s="343">
        <f>SUM(O24:O27)</f>
        <v>26232.05</v>
      </c>
      <c r="P28" s="351">
        <f>SUM(P24:P27)</f>
        <v>1</v>
      </c>
    </row>
    <row r="29" spans="1:16" ht="15.75" thickBot="1" x14ac:dyDescent="0.3">
      <c r="I29" s="310"/>
    </row>
    <row r="30" spans="1:16" x14ac:dyDescent="0.25">
      <c r="A30" s="320">
        <v>51000</v>
      </c>
      <c r="B30" s="322" t="s">
        <v>136</v>
      </c>
      <c r="O30" s="338">
        <v>24391</v>
      </c>
      <c r="P30" s="346">
        <f>O30/$O$34</f>
        <v>0.51464841607038259</v>
      </c>
    </row>
    <row r="31" spans="1:16" x14ac:dyDescent="0.25">
      <c r="A31" s="319">
        <v>52000</v>
      </c>
      <c r="B31" s="323" t="s">
        <v>137</v>
      </c>
      <c r="O31" s="340">
        <v>7370</v>
      </c>
      <c r="P31" s="347">
        <f>O31/$O$34</f>
        <v>0.15550649118276083</v>
      </c>
    </row>
    <row r="32" spans="1:16" x14ac:dyDescent="0.25">
      <c r="A32" s="319">
        <v>53000</v>
      </c>
      <c r="B32" s="323" t="s">
        <v>138</v>
      </c>
      <c r="O32" s="340">
        <v>9958</v>
      </c>
      <c r="P32" s="347">
        <f>O32/$O$34</f>
        <v>0.21011311250989584</v>
      </c>
    </row>
    <row r="33" spans="1:16" ht="15" customHeight="1" thickBot="1" x14ac:dyDescent="0.3">
      <c r="A33" s="321">
        <v>54000</v>
      </c>
      <c r="B33" s="324" t="s">
        <v>139</v>
      </c>
      <c r="O33" s="340">
        <v>5674.52</v>
      </c>
      <c r="P33" s="347">
        <f>O33/$O$34</f>
        <v>0.11973198023696066</v>
      </c>
    </row>
    <row r="34" spans="1:16" ht="15.75" thickBot="1" x14ac:dyDescent="0.3">
      <c r="A34" s="327">
        <v>2015</v>
      </c>
      <c r="B34" s="328" t="s">
        <v>154</v>
      </c>
      <c r="O34" s="345">
        <f>SUM(O30:O33)</f>
        <v>47393.520000000004</v>
      </c>
      <c r="P34" s="354">
        <f>SUM(P30:P33)</f>
        <v>0.99999999999999989</v>
      </c>
    </row>
    <row r="36" spans="1:16" x14ac:dyDescent="0.25">
      <c r="A36" s="683" t="s">
        <v>2</v>
      </c>
    </row>
  </sheetData>
  <mergeCells count="12">
    <mergeCell ref="R4:R5"/>
    <mergeCell ref="Q4:Q5"/>
    <mergeCell ref="A3:B3"/>
    <mergeCell ref="B4:B5"/>
    <mergeCell ref="A4:A5"/>
    <mergeCell ref="C4:F4"/>
    <mergeCell ref="G4:H4"/>
    <mergeCell ref="A10:B10"/>
    <mergeCell ref="O4:P4"/>
    <mergeCell ref="M4:N4"/>
    <mergeCell ref="K4:L4"/>
    <mergeCell ref="I4:J4"/>
  </mergeCells>
  <hyperlinks>
    <hyperlink ref="A36" location="'0 Seznam'!A1" display="Seznam"/>
  </hyperlinks>
  <pageMargins left="0.7" right="0.7" top="0.78740157499999996" bottom="0.78740157499999996" header="0.3" footer="0.3"/>
  <pageSetup paperSize="9" orientation="landscape" r:id="rId1"/>
  <headerFooter>
    <oddHeader xml:space="preserve">&amp;LČ. j.: MSMT-2019/2019-1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966"/>
  </sheetPr>
  <dimension ref="A1:J22"/>
  <sheetViews>
    <sheetView zoomScale="85" zoomScaleNormal="85" workbookViewId="0">
      <selection activeCell="H11" sqref="H11"/>
    </sheetView>
  </sheetViews>
  <sheetFormatPr defaultRowHeight="15" x14ac:dyDescent="0.25"/>
  <cols>
    <col min="1" max="1" width="10.5703125" customWidth="1"/>
    <col min="2" max="2" width="61.5703125" bestFit="1" customWidth="1"/>
    <col min="3" max="8" width="11" customWidth="1"/>
    <col min="9" max="10" width="15.85546875" customWidth="1"/>
  </cols>
  <sheetData>
    <row r="1" spans="1:10" ht="27.75" x14ac:dyDescent="0.25">
      <c r="A1" s="309" t="s">
        <v>171</v>
      </c>
    </row>
    <row r="2" spans="1:10" ht="15.75" thickBot="1" x14ac:dyDescent="0.3"/>
    <row r="3" spans="1:10" ht="15.75" customHeight="1" thickBot="1" x14ac:dyDescent="0.3">
      <c r="A3" s="975" t="s">
        <v>163</v>
      </c>
      <c r="B3" s="976"/>
      <c r="C3" s="355"/>
      <c r="D3" s="357">
        <v>0.4</v>
      </c>
      <c r="E3" s="355"/>
      <c r="F3" s="357">
        <v>0.2</v>
      </c>
      <c r="G3" s="355"/>
      <c r="H3" s="356">
        <v>0.4</v>
      </c>
      <c r="I3" s="467">
        <f>SUM(D3:H3)</f>
        <v>1</v>
      </c>
      <c r="J3" s="437">
        <f>'3 Stanovení podílů segmentů'!D8</f>
        <v>1.3489709688494059E-2</v>
      </c>
    </row>
    <row r="4" spans="1:10" ht="30" customHeight="1" x14ac:dyDescent="0.25">
      <c r="A4" s="979" t="s">
        <v>114</v>
      </c>
      <c r="B4" s="977" t="s">
        <v>115</v>
      </c>
      <c r="C4" s="971" t="s">
        <v>170</v>
      </c>
      <c r="D4" s="972"/>
      <c r="E4" s="971" t="s">
        <v>157</v>
      </c>
      <c r="F4" s="972"/>
      <c r="G4" s="971" t="s">
        <v>169</v>
      </c>
      <c r="H4" s="986"/>
      <c r="I4" s="973" t="s">
        <v>167</v>
      </c>
      <c r="J4" s="973" t="s">
        <v>168</v>
      </c>
    </row>
    <row r="5" spans="1:10" ht="15.75" thickBot="1" x14ac:dyDescent="0.3">
      <c r="A5" s="980"/>
      <c r="B5" s="978"/>
      <c r="C5" s="335" t="s">
        <v>142</v>
      </c>
      <c r="D5" s="336" t="s">
        <v>166</v>
      </c>
      <c r="E5" s="325" t="s">
        <v>164</v>
      </c>
      <c r="F5" s="367" t="s">
        <v>166</v>
      </c>
      <c r="G5" s="335" t="s">
        <v>142</v>
      </c>
      <c r="H5" s="366" t="s">
        <v>166</v>
      </c>
      <c r="I5" s="974"/>
      <c r="J5" s="974"/>
    </row>
    <row r="6" spans="1:10" x14ac:dyDescent="0.25">
      <c r="A6" s="370">
        <v>55000</v>
      </c>
      <c r="B6" s="371" t="s">
        <v>140</v>
      </c>
      <c r="C6" s="390"/>
      <c r="D6" s="372">
        <f>D10</f>
        <v>0.49807539721256922</v>
      </c>
      <c r="E6" s="390"/>
      <c r="F6" s="372">
        <f>0.5*F10+0.3*F14+0.2*F18</f>
        <v>0.33951300689719155</v>
      </c>
      <c r="G6" s="390"/>
      <c r="H6" s="373">
        <f>H10</f>
        <v>0.46962433420492677</v>
      </c>
      <c r="I6" s="374">
        <f t="array" ref="I6">SUM($C$3:$H$3*C6:H6)</f>
        <v>0.45498249394643675</v>
      </c>
      <c r="J6" s="374">
        <f>I6*$J$3</f>
        <v>6.1375817566844378E-3</v>
      </c>
    </row>
    <row r="7" spans="1:10" ht="15" customHeight="1" thickBot="1" x14ac:dyDescent="0.3">
      <c r="A7" s="375">
        <v>56000</v>
      </c>
      <c r="B7" s="376" t="s">
        <v>141</v>
      </c>
      <c r="C7" s="391"/>
      <c r="D7" s="377">
        <f>D11</f>
        <v>0.50192460278743078</v>
      </c>
      <c r="E7" s="394"/>
      <c r="F7" s="378">
        <f>0.5*F11+0.3*F15+0.2*F19</f>
        <v>0.66048699310280834</v>
      </c>
      <c r="G7" s="391"/>
      <c r="H7" s="379">
        <f>H11</f>
        <v>0.53037566579507334</v>
      </c>
      <c r="I7" s="380">
        <f t="array" ref="I7">SUM($C$3:$H$3*C7:H7)</f>
        <v>0.54501750605356336</v>
      </c>
      <c r="J7" s="380">
        <f>I7*$J$3</f>
        <v>7.3521279318096234E-3</v>
      </c>
    </row>
    <row r="8" spans="1:10" ht="15.75" thickBot="1" x14ac:dyDescent="0.3">
      <c r="A8" s="984" t="s">
        <v>154</v>
      </c>
      <c r="B8" s="985"/>
      <c r="C8" s="392"/>
      <c r="D8" s="381">
        <f>SUM(D6:D7)</f>
        <v>1</v>
      </c>
      <c r="E8" s="395"/>
      <c r="F8" s="382">
        <f>SUM(F6:F7)</f>
        <v>0.99999999999999989</v>
      </c>
      <c r="G8" s="392"/>
      <c r="H8" s="382">
        <f>SUM(H6:H7)</f>
        <v>1</v>
      </c>
      <c r="I8" s="383">
        <f>SUM(I6:I7)</f>
        <v>1</v>
      </c>
      <c r="J8" s="383">
        <f>SUM(J6:J7)</f>
        <v>1.3489709688494061E-2</v>
      </c>
    </row>
    <row r="9" spans="1:10" ht="15.75" thickBot="1" x14ac:dyDescent="0.3">
      <c r="C9" s="393"/>
      <c r="E9" s="393"/>
      <c r="G9" s="393"/>
    </row>
    <row r="10" spans="1:10" x14ac:dyDescent="0.25">
      <c r="A10" s="384">
        <v>55000</v>
      </c>
      <c r="B10" s="371" t="s">
        <v>140</v>
      </c>
      <c r="C10" s="390">
        <v>1041.9479166666667</v>
      </c>
      <c r="D10" s="372">
        <f>C10/$C$12</f>
        <v>0.49807539721256922</v>
      </c>
      <c r="E10" s="390">
        <v>2576</v>
      </c>
      <c r="F10" s="372">
        <f>E10/$E$12</f>
        <v>0.26836128763412853</v>
      </c>
      <c r="G10" s="390">
        <v>529.87300618385188</v>
      </c>
      <c r="H10" s="372">
        <f>G10/$G$12</f>
        <v>0.46962433420492677</v>
      </c>
    </row>
    <row r="11" spans="1:10" ht="15" customHeight="1" thickBot="1" x14ac:dyDescent="0.3">
      <c r="A11" s="375">
        <v>56000</v>
      </c>
      <c r="B11" s="376" t="s">
        <v>141</v>
      </c>
      <c r="C11" s="391">
        <v>1050.0002552322615</v>
      </c>
      <c r="D11" s="377">
        <f>C11/$C$12</f>
        <v>0.50192460278743078</v>
      </c>
      <c r="E11" s="394">
        <v>7023</v>
      </c>
      <c r="F11" s="378">
        <f>E11/$E$12</f>
        <v>0.73163871236587141</v>
      </c>
      <c r="G11" s="391">
        <v>598.41819934093439</v>
      </c>
      <c r="H11" s="377">
        <f>G11/$G$12</f>
        <v>0.53037566579507334</v>
      </c>
    </row>
    <row r="12" spans="1:10" ht="15.75" thickBot="1" x14ac:dyDescent="0.3">
      <c r="A12" s="385">
        <v>2018</v>
      </c>
      <c r="B12" s="386" t="s">
        <v>154</v>
      </c>
      <c r="C12" s="392">
        <f t="shared" ref="C12:H12" si="0">SUM(C10:C11)</f>
        <v>2091.9481718989282</v>
      </c>
      <c r="D12" s="381">
        <f t="shared" si="0"/>
        <v>1</v>
      </c>
      <c r="E12" s="395">
        <f t="shared" si="0"/>
        <v>9599</v>
      </c>
      <c r="F12" s="382">
        <f t="shared" si="0"/>
        <v>1</v>
      </c>
      <c r="G12" s="392">
        <f t="shared" si="0"/>
        <v>1128.2912055247862</v>
      </c>
      <c r="H12" s="381">
        <f t="shared" si="0"/>
        <v>1</v>
      </c>
    </row>
    <row r="13" spans="1:10" ht="15.75" thickBot="1" x14ac:dyDescent="0.3">
      <c r="D13" s="334"/>
      <c r="E13" s="393"/>
      <c r="H13" s="334"/>
    </row>
    <row r="14" spans="1:10" x14ac:dyDescent="0.25">
      <c r="A14" s="384">
        <v>55000</v>
      </c>
      <c r="B14" s="371" t="s">
        <v>140</v>
      </c>
      <c r="C14" s="331"/>
      <c r="D14" s="368"/>
      <c r="E14" s="390">
        <v>4306</v>
      </c>
      <c r="F14" s="372">
        <f>E14/$E$16</f>
        <v>0.39295491878079941</v>
      </c>
      <c r="G14" s="331"/>
      <c r="H14" s="369"/>
    </row>
    <row r="15" spans="1:10" ht="15" customHeight="1" thickBot="1" x14ac:dyDescent="0.3">
      <c r="A15" s="375">
        <v>56000</v>
      </c>
      <c r="B15" s="376" t="s">
        <v>141</v>
      </c>
      <c r="C15" s="331"/>
      <c r="D15" s="368"/>
      <c r="E15" s="394">
        <v>6652</v>
      </c>
      <c r="F15" s="378">
        <f>E15/$E$16</f>
        <v>0.60704508121920053</v>
      </c>
      <c r="G15" s="331"/>
      <c r="H15" s="369"/>
    </row>
    <row r="16" spans="1:10" ht="15.75" thickBot="1" x14ac:dyDescent="0.3">
      <c r="A16" s="385">
        <v>2017</v>
      </c>
      <c r="B16" s="386" t="s">
        <v>154</v>
      </c>
      <c r="C16" s="387"/>
      <c r="D16" s="388"/>
      <c r="E16" s="395">
        <f>SUM(E14:E15)</f>
        <v>10958</v>
      </c>
      <c r="F16" s="382">
        <f>SUM(F14:F15)</f>
        <v>1</v>
      </c>
      <c r="G16" s="387"/>
      <c r="H16" s="389"/>
    </row>
    <row r="17" spans="1:8" ht="15.75" thickBot="1" x14ac:dyDescent="0.3">
      <c r="C17" s="333"/>
      <c r="D17" s="333"/>
      <c r="E17" s="393"/>
      <c r="G17" s="333"/>
      <c r="H17" s="333"/>
    </row>
    <row r="18" spans="1:8" x14ac:dyDescent="0.25">
      <c r="A18" s="384">
        <v>55000</v>
      </c>
      <c r="B18" s="371" t="s">
        <v>140</v>
      </c>
      <c r="C18" s="331"/>
      <c r="D18" s="368"/>
      <c r="E18" s="390">
        <v>5555</v>
      </c>
      <c r="F18" s="372">
        <f>E18/$E$20</f>
        <v>0.43722943722943725</v>
      </c>
      <c r="G18" s="331"/>
      <c r="H18" s="369"/>
    </row>
    <row r="19" spans="1:8" ht="15" customHeight="1" thickBot="1" x14ac:dyDescent="0.3">
      <c r="A19" s="375">
        <v>56000</v>
      </c>
      <c r="B19" s="376" t="s">
        <v>141</v>
      </c>
      <c r="C19" s="331"/>
      <c r="D19" s="368"/>
      <c r="E19" s="394">
        <v>7150</v>
      </c>
      <c r="F19" s="378">
        <f>E19/$E$20</f>
        <v>0.56277056277056281</v>
      </c>
      <c r="G19" s="331"/>
      <c r="H19" s="369"/>
    </row>
    <row r="20" spans="1:8" ht="15.75" thickBot="1" x14ac:dyDescent="0.3">
      <c r="A20" s="385">
        <v>2016</v>
      </c>
      <c r="B20" s="386" t="s">
        <v>154</v>
      </c>
      <c r="C20" s="387"/>
      <c r="D20" s="388"/>
      <c r="E20" s="395">
        <f>SUM(E18:E19)</f>
        <v>12705</v>
      </c>
      <c r="F20" s="382">
        <f>SUM(F18:F19)</f>
        <v>1</v>
      </c>
      <c r="G20" s="387"/>
      <c r="H20" s="389"/>
    </row>
    <row r="21" spans="1:8" x14ac:dyDescent="0.25">
      <c r="D21" s="310"/>
    </row>
    <row r="22" spans="1:8" x14ac:dyDescent="0.25">
      <c r="A22" s="683" t="s">
        <v>2</v>
      </c>
    </row>
  </sheetData>
  <mergeCells count="9">
    <mergeCell ref="J4:J5"/>
    <mergeCell ref="I4:I5"/>
    <mergeCell ref="A8:B8"/>
    <mergeCell ref="E4:F4"/>
    <mergeCell ref="A3:B3"/>
    <mergeCell ref="A4:A5"/>
    <mergeCell ref="B4:B5"/>
    <mergeCell ref="C4:D4"/>
    <mergeCell ref="G4:H4"/>
  </mergeCells>
  <hyperlinks>
    <hyperlink ref="A22" location="'0 Seznam'!A1" display="Seznam"/>
  </hyperlinks>
  <pageMargins left="0.7" right="0.7" top="0.78740157499999996" bottom="0.78740157499999996" header="0.3" footer="0.3"/>
  <pageSetup paperSize="9" orientation="landscape" r:id="rId1"/>
  <headerFooter>
    <oddHeader xml:space="preserve">&amp;LČ. j.: MSMT-2019/2019-1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B084"/>
  </sheetPr>
  <dimension ref="A1:V91"/>
  <sheetViews>
    <sheetView topLeftCell="A22" zoomScale="85" zoomScaleNormal="85" workbookViewId="0">
      <selection activeCell="F51" sqref="F51"/>
    </sheetView>
  </sheetViews>
  <sheetFormatPr defaultRowHeight="15" x14ac:dyDescent="0.25"/>
  <cols>
    <col min="1" max="1" width="10.5703125" customWidth="1"/>
    <col min="2" max="2" width="52.28515625" customWidth="1"/>
    <col min="3" max="4" width="10.85546875" style="6" customWidth="1"/>
    <col min="5" max="18" width="10.85546875" customWidth="1"/>
    <col min="19" max="20" width="10.85546875" style="6" customWidth="1"/>
    <col min="21" max="22" width="15.7109375" customWidth="1"/>
  </cols>
  <sheetData>
    <row r="1" spans="1:22" ht="27.75" x14ac:dyDescent="0.25">
      <c r="A1" s="309" t="s">
        <v>197</v>
      </c>
    </row>
    <row r="2" spans="1:22" ht="15.75" thickBot="1" x14ac:dyDescent="0.3"/>
    <row r="3" spans="1:22" ht="15.75" customHeight="1" thickBot="1" x14ac:dyDescent="0.3">
      <c r="A3" s="975" t="s">
        <v>163</v>
      </c>
      <c r="B3" s="976"/>
      <c r="C3" s="355"/>
      <c r="D3" s="359">
        <v>0.15</v>
      </c>
      <c r="E3" s="358"/>
      <c r="F3" s="423"/>
      <c r="G3" s="423"/>
      <c r="H3" s="359">
        <v>0.22</v>
      </c>
      <c r="I3" s="358"/>
      <c r="J3" s="359">
        <v>0.1</v>
      </c>
      <c r="K3" s="358"/>
      <c r="L3" s="359">
        <v>0.3</v>
      </c>
      <c r="M3" s="358"/>
      <c r="N3" s="359">
        <v>0.03</v>
      </c>
      <c r="O3" s="358"/>
      <c r="P3" s="359">
        <v>3.5000000000000003E-2</v>
      </c>
      <c r="Q3" s="358"/>
      <c r="R3" s="359">
        <v>6.5000000000000002E-2</v>
      </c>
      <c r="S3" s="358"/>
      <c r="T3" s="359">
        <v>0.1</v>
      </c>
      <c r="U3" s="422">
        <f>SUM(C3:T3)</f>
        <v>1.0000000000000002</v>
      </c>
      <c r="V3" s="437">
        <f>'3 Stanovení podílů segmentů'!D9</f>
        <v>0.39654274925783739</v>
      </c>
    </row>
    <row r="4" spans="1:22" ht="30" customHeight="1" x14ac:dyDescent="0.25">
      <c r="A4" s="979" t="s">
        <v>114</v>
      </c>
      <c r="B4" s="977" t="s">
        <v>115</v>
      </c>
      <c r="C4" s="971" t="s">
        <v>170</v>
      </c>
      <c r="D4" s="972"/>
      <c r="E4" s="988" t="s">
        <v>157</v>
      </c>
      <c r="F4" s="989"/>
      <c r="G4" s="989"/>
      <c r="H4" s="990"/>
      <c r="I4" s="971" t="s">
        <v>158</v>
      </c>
      <c r="J4" s="972"/>
      <c r="K4" s="979" t="s">
        <v>159</v>
      </c>
      <c r="L4" s="987"/>
      <c r="M4" s="979" t="s">
        <v>160</v>
      </c>
      <c r="N4" s="987"/>
      <c r="O4" s="979" t="s">
        <v>161</v>
      </c>
      <c r="P4" s="987"/>
      <c r="Q4" s="979" t="s">
        <v>162</v>
      </c>
      <c r="R4" s="987"/>
      <c r="S4" s="979" t="s">
        <v>276</v>
      </c>
      <c r="T4" s="987"/>
      <c r="U4" s="973" t="s">
        <v>167</v>
      </c>
      <c r="V4" s="973" t="s">
        <v>168</v>
      </c>
    </row>
    <row r="5" spans="1:22" ht="15.75" thickBot="1" x14ac:dyDescent="0.3">
      <c r="A5" s="980"/>
      <c r="B5" s="978"/>
      <c r="C5" s="335" t="s">
        <v>142</v>
      </c>
      <c r="D5" s="336" t="s">
        <v>166</v>
      </c>
      <c r="E5" s="311" t="s">
        <v>164</v>
      </c>
      <c r="F5" s="326" t="s">
        <v>165</v>
      </c>
      <c r="G5" s="312" t="s">
        <v>142</v>
      </c>
      <c r="H5" s="367" t="s">
        <v>166</v>
      </c>
      <c r="I5" s="335" t="s">
        <v>142</v>
      </c>
      <c r="J5" s="336" t="s">
        <v>166</v>
      </c>
      <c r="K5" s="335" t="s">
        <v>142</v>
      </c>
      <c r="L5" s="336" t="s">
        <v>166</v>
      </c>
      <c r="M5" s="335" t="s">
        <v>142</v>
      </c>
      <c r="N5" s="336" t="s">
        <v>166</v>
      </c>
      <c r="O5" s="335" t="s">
        <v>142</v>
      </c>
      <c r="P5" s="336" t="s">
        <v>166</v>
      </c>
      <c r="Q5" s="335" t="s">
        <v>142</v>
      </c>
      <c r="R5" s="336" t="s">
        <v>166</v>
      </c>
      <c r="S5" s="335" t="s">
        <v>142</v>
      </c>
      <c r="T5" s="336" t="s">
        <v>166</v>
      </c>
      <c r="U5" s="974"/>
      <c r="V5" s="974"/>
    </row>
    <row r="6" spans="1:22" x14ac:dyDescent="0.25">
      <c r="A6" s="396">
        <v>12000</v>
      </c>
      <c r="B6" s="397" t="s">
        <v>117</v>
      </c>
      <c r="C6" s="398"/>
      <c r="D6" s="399">
        <f>D23</f>
        <v>7.5942362557088181E-2</v>
      </c>
      <c r="E6" s="398"/>
      <c r="F6" s="400"/>
      <c r="G6" s="401"/>
      <c r="H6" s="399">
        <f>0.5*H23+0.3*H40+0.2*H57</f>
        <v>3.8526179122086029E-2</v>
      </c>
      <c r="I6" s="398"/>
      <c r="J6" s="399">
        <f>J23</f>
        <v>7.7975189462136302E-2</v>
      </c>
      <c r="K6" s="398"/>
      <c r="L6" s="402">
        <f>L23</f>
        <v>0.10250597240097957</v>
      </c>
      <c r="M6" s="398"/>
      <c r="N6" s="399">
        <f>N23</f>
        <v>1.8252850411353039E-2</v>
      </c>
      <c r="O6" s="398"/>
      <c r="P6" s="402">
        <f>0.5*P23+0.3*P40+0.2*P57</f>
        <v>1.0732903306812094E-3</v>
      </c>
      <c r="Q6" s="398"/>
      <c r="R6" s="399">
        <f>0.5*R40+0.3*R57+0.2*R74</f>
        <v>7.5836892210568649E-2</v>
      </c>
      <c r="S6" s="398"/>
      <c r="T6" s="399">
        <f>T40</f>
        <v>0.12039594065761221</v>
      </c>
      <c r="U6" s="403">
        <f t="array" ref="U6">SUM($C$3:$T$3*C6:T6)</f>
        <v>7.5970567190292271E-2</v>
      </c>
      <c r="V6" s="404">
        <f>U6*$V$3</f>
        <v>3.0125577576315756E-2</v>
      </c>
    </row>
    <row r="7" spans="1:22" ht="15" customHeight="1" x14ac:dyDescent="0.25">
      <c r="A7" s="396">
        <v>13000</v>
      </c>
      <c r="B7" s="405" t="s">
        <v>118</v>
      </c>
      <c r="C7" s="406"/>
      <c r="D7" s="407">
        <f t="shared" ref="D7:D20" si="0">D24</f>
        <v>4.5220193249974623E-2</v>
      </c>
      <c r="E7" s="400"/>
      <c r="F7" s="400"/>
      <c r="G7" s="400"/>
      <c r="H7" s="407">
        <f t="shared" ref="H7:H20" si="1">0.5*H24+0.3*H41+0.2*H58</f>
        <v>4.101247582468092E-2</v>
      </c>
      <c r="I7" s="406"/>
      <c r="J7" s="407">
        <f t="shared" ref="J7:J20" si="2">J24</f>
        <v>5.3359015104041868E-2</v>
      </c>
      <c r="K7" s="406"/>
      <c r="L7" s="408">
        <f t="shared" ref="L7:L20" si="3">L24</f>
        <v>2.6279663815339804E-2</v>
      </c>
      <c r="M7" s="406"/>
      <c r="N7" s="407">
        <f t="shared" ref="N7:N20" si="4">N24</f>
        <v>0.17611069366142776</v>
      </c>
      <c r="O7" s="406"/>
      <c r="P7" s="408">
        <f t="shared" ref="P7:P20" si="5">0.5*P24+0.3*P41+0.2*P58</f>
        <v>3.633512596579712E-3</v>
      </c>
      <c r="Q7" s="406"/>
      <c r="R7" s="407">
        <f t="shared" ref="R7:R20" si="6">0.5*R41+0.3*R58+0.2*R75</f>
        <v>2.2231907230801096E-2</v>
      </c>
      <c r="S7" s="406"/>
      <c r="T7" s="407">
        <f t="shared" ref="T7:T20" si="7">T41</f>
        <v>2.611530172837101E-2</v>
      </c>
      <c r="U7" s="409">
        <f t="array" ref="U7">SUM($C$3:$T$3*C7:T7)</f>
        <v>3.8492672217494417E-2</v>
      </c>
      <c r="V7" s="410">
        <f t="shared" ref="V7:V20" si="8">U7*$V$3</f>
        <v>1.5263990067406013E-2</v>
      </c>
    </row>
    <row r="8" spans="1:22" x14ac:dyDescent="0.25">
      <c r="A8" s="396">
        <v>16000</v>
      </c>
      <c r="B8" s="405" t="s">
        <v>121</v>
      </c>
      <c r="C8" s="406"/>
      <c r="D8" s="407">
        <f t="shared" si="0"/>
        <v>2.7847672536207135E-2</v>
      </c>
      <c r="E8" s="400"/>
      <c r="F8" s="400"/>
      <c r="G8" s="400"/>
      <c r="H8" s="408">
        <f t="shared" si="1"/>
        <v>1.7659409597371566E-2</v>
      </c>
      <c r="I8" s="406"/>
      <c r="J8" s="407">
        <f t="shared" si="2"/>
        <v>5.2472401623548597E-2</v>
      </c>
      <c r="K8" s="406"/>
      <c r="L8" s="408">
        <f t="shared" si="3"/>
        <v>2.8404848418009911E-2</v>
      </c>
      <c r="M8" s="406"/>
      <c r="N8" s="407">
        <f t="shared" si="4"/>
        <v>0</v>
      </c>
      <c r="O8" s="406"/>
      <c r="P8" s="408">
        <f t="shared" si="5"/>
        <v>0.11532475541411279</v>
      </c>
      <c r="Q8" s="406"/>
      <c r="R8" s="407">
        <f t="shared" si="6"/>
        <v>1.9101118125525635E-2</v>
      </c>
      <c r="S8" s="406"/>
      <c r="T8" s="407">
        <f t="shared" si="7"/>
        <v>4.1074247122720703E-2</v>
      </c>
      <c r="U8" s="410">
        <f t="array" ref="U8">SUM($C$3:$T$3*C8:T8)</f>
        <v>3.1216279509535833E-2</v>
      </c>
      <c r="V8" s="410">
        <f t="shared" si="8"/>
        <v>1.2378589298312434E-2</v>
      </c>
    </row>
    <row r="9" spans="1:22" s="6" customFormat="1" x14ac:dyDescent="0.25">
      <c r="A9" s="396">
        <v>17000</v>
      </c>
      <c r="B9" s="405" t="s">
        <v>122</v>
      </c>
      <c r="C9" s="406"/>
      <c r="D9" s="407">
        <f t="shared" si="0"/>
        <v>6.9139299619747616E-2</v>
      </c>
      <c r="E9" s="400"/>
      <c r="F9" s="400"/>
      <c r="G9" s="400"/>
      <c r="H9" s="408">
        <f t="shared" si="1"/>
        <v>5.1525396331864842E-2</v>
      </c>
      <c r="I9" s="406"/>
      <c r="J9" s="407">
        <f t="shared" si="2"/>
        <v>7.6984778066293932E-2</v>
      </c>
      <c r="K9" s="406"/>
      <c r="L9" s="408">
        <f t="shared" si="3"/>
        <v>4.5881084160424628E-2</v>
      </c>
      <c r="M9" s="406"/>
      <c r="N9" s="407">
        <f t="shared" si="4"/>
        <v>0.1329008830009234</v>
      </c>
      <c r="O9" s="406"/>
      <c r="P9" s="408">
        <f t="shared" si="5"/>
        <v>0.10626974748593779</v>
      </c>
      <c r="Q9" s="406"/>
      <c r="R9" s="407">
        <f t="shared" si="6"/>
        <v>3.1638897232615648E-2</v>
      </c>
      <c r="S9" s="406"/>
      <c r="T9" s="407">
        <f t="shared" si="7"/>
        <v>7.7465967220739507E-2</v>
      </c>
      <c r="U9" s="409">
        <f t="array" ref="U9">SUM($C$3:$T$3*C9:T9)</f>
        <v>6.0678877884958675E-2</v>
      </c>
      <c r="V9" s="410">
        <f t="shared" si="8"/>
        <v>2.4061769058382101E-2</v>
      </c>
    </row>
    <row r="10" spans="1:22" s="6" customFormat="1" x14ac:dyDescent="0.25">
      <c r="A10" s="396">
        <v>18000</v>
      </c>
      <c r="B10" s="405" t="s">
        <v>123</v>
      </c>
      <c r="C10" s="406"/>
      <c r="D10" s="407">
        <f t="shared" si="0"/>
        <v>4.7500913207904595E-2</v>
      </c>
      <c r="E10" s="400"/>
      <c r="F10" s="400"/>
      <c r="G10" s="400"/>
      <c r="H10" s="408">
        <f t="shared" si="1"/>
        <v>6.0198151756448159E-2</v>
      </c>
      <c r="I10" s="406"/>
      <c r="J10" s="407">
        <f t="shared" si="2"/>
        <v>4.052051351044509E-2</v>
      </c>
      <c r="K10" s="406"/>
      <c r="L10" s="408">
        <f t="shared" si="3"/>
        <v>2.6161616035391397E-2</v>
      </c>
      <c r="M10" s="406"/>
      <c r="N10" s="407">
        <f t="shared" si="4"/>
        <v>0.10161776856943634</v>
      </c>
      <c r="O10" s="406"/>
      <c r="P10" s="408">
        <f t="shared" si="5"/>
        <v>1.1635277195727101E-2</v>
      </c>
      <c r="Q10" s="406"/>
      <c r="R10" s="407">
        <f t="shared" si="6"/>
        <v>9.6209970340041303E-3</v>
      </c>
      <c r="S10" s="406"/>
      <c r="T10" s="407">
        <f t="shared" si="7"/>
        <v>3.3139092265423858E-2</v>
      </c>
      <c r="U10" s="409">
        <f t="array" ref="U10">SUM($C$3:$T$3*C10:T10)</f>
        <v>3.9664308321952398E-2</v>
      </c>
      <c r="V10" s="410">
        <f t="shared" si="8"/>
        <v>1.5728593869397522E-2</v>
      </c>
    </row>
    <row r="11" spans="1:22" s="6" customFormat="1" x14ac:dyDescent="0.25">
      <c r="A11" s="396">
        <v>19000</v>
      </c>
      <c r="B11" s="405" t="s">
        <v>124</v>
      </c>
      <c r="C11" s="406"/>
      <c r="D11" s="407">
        <f t="shared" si="0"/>
        <v>2.9118650921479392E-2</v>
      </c>
      <c r="E11" s="400"/>
      <c r="F11" s="400"/>
      <c r="G11" s="400"/>
      <c r="H11" s="408">
        <f t="shared" si="1"/>
        <v>1.3554775403118273E-2</v>
      </c>
      <c r="I11" s="406"/>
      <c r="J11" s="407">
        <f t="shared" si="2"/>
        <v>3.143364881932157E-2</v>
      </c>
      <c r="K11" s="406"/>
      <c r="L11" s="408">
        <f t="shared" si="3"/>
        <v>2.6675892345020946E-2</v>
      </c>
      <c r="M11" s="406"/>
      <c r="N11" s="407">
        <f t="shared" si="4"/>
        <v>9.6961913329689703E-2</v>
      </c>
      <c r="O11" s="406"/>
      <c r="P11" s="408">
        <f t="shared" si="5"/>
        <v>1.069747539580659E-3</v>
      </c>
      <c r="Q11" s="406"/>
      <c r="R11" s="407">
        <f t="shared" si="6"/>
        <v>1.0458954660755247E-2</v>
      </c>
      <c r="S11" s="406"/>
      <c r="T11" s="407">
        <f t="shared" si="7"/>
        <v>4.4451009061004056E-2</v>
      </c>
      <c r="U11" s="409">
        <f t="array" ref="U11">SUM($C$3:$T$3*C11:T11)</f>
        <v>2.6567212335171883E-2</v>
      </c>
      <c r="V11" s="410">
        <f t="shared" si="8"/>
        <v>1.0535035419505789E-2</v>
      </c>
    </row>
    <row r="12" spans="1:22" s="6" customFormat="1" x14ac:dyDescent="0.25">
      <c r="A12" s="396">
        <v>22000</v>
      </c>
      <c r="B12" s="405" t="s">
        <v>126</v>
      </c>
      <c r="C12" s="406"/>
      <c r="D12" s="407">
        <f t="shared" si="0"/>
        <v>3.1121677431453172E-2</v>
      </c>
      <c r="E12" s="400"/>
      <c r="F12" s="400"/>
      <c r="G12" s="400"/>
      <c r="H12" s="408">
        <f t="shared" si="1"/>
        <v>3.9532980700889231E-2</v>
      </c>
      <c r="I12" s="406"/>
      <c r="J12" s="407">
        <f t="shared" si="2"/>
        <v>5.0050765732087818E-2</v>
      </c>
      <c r="K12" s="406"/>
      <c r="L12" s="408">
        <f t="shared" si="3"/>
        <v>0.13046424283502522</v>
      </c>
      <c r="M12" s="406"/>
      <c r="N12" s="407">
        <f t="shared" si="4"/>
        <v>1.3768673637163079E-3</v>
      </c>
      <c r="O12" s="406"/>
      <c r="P12" s="408">
        <f t="shared" si="5"/>
        <v>2.0097949330240145E-2</v>
      </c>
      <c r="Q12" s="406"/>
      <c r="R12" s="407">
        <f t="shared" si="6"/>
        <v>0.17595812351646012</v>
      </c>
      <c r="S12" s="406"/>
      <c r="T12" s="407">
        <f t="shared" si="7"/>
        <v>9.2314920369542516E-2</v>
      </c>
      <c r="U12" s="409">
        <f t="array" ref="U12">SUM($C$3:$T$3*C12:T12)</f>
        <v>7.8923361105624007E-2</v>
      </c>
      <c r="V12" s="410">
        <f t="shared" si="8"/>
        <v>3.1296486593493218E-2</v>
      </c>
    </row>
    <row r="13" spans="1:22" s="6" customFormat="1" x14ac:dyDescent="0.25">
      <c r="A13" s="396">
        <v>23000</v>
      </c>
      <c r="B13" s="405" t="s">
        <v>127</v>
      </c>
      <c r="C13" s="406"/>
      <c r="D13" s="407">
        <f t="shared" si="0"/>
        <v>8.4175278583875926E-2</v>
      </c>
      <c r="E13" s="400"/>
      <c r="F13" s="400"/>
      <c r="G13" s="400"/>
      <c r="H13" s="408">
        <f t="shared" si="1"/>
        <v>6.7178951495510009E-2</v>
      </c>
      <c r="I13" s="406"/>
      <c r="J13" s="407">
        <f t="shared" si="2"/>
        <v>8.0629909839991354E-2</v>
      </c>
      <c r="K13" s="406"/>
      <c r="L13" s="408">
        <f t="shared" si="3"/>
        <v>0.10738107984568546</v>
      </c>
      <c r="M13" s="406"/>
      <c r="N13" s="407">
        <f t="shared" si="4"/>
        <v>0.16498674853682554</v>
      </c>
      <c r="O13" s="406"/>
      <c r="P13" s="408">
        <f t="shared" si="5"/>
        <v>2.9007612491666951E-3</v>
      </c>
      <c r="Q13" s="406"/>
      <c r="R13" s="407">
        <f t="shared" si="6"/>
        <v>0.13532904154030623</v>
      </c>
      <c r="S13" s="406"/>
      <c r="T13" s="407">
        <f t="shared" si="7"/>
        <v>8.0451471028435362E-2</v>
      </c>
      <c r="U13" s="409">
        <f t="array" ref="U13">SUM($C$3:$T$3*C13:T13)</f>
        <v>8.9575639957087408E-2</v>
      </c>
      <c r="V13" s="410">
        <f t="shared" si="8"/>
        <v>3.5520570535113635E-2</v>
      </c>
    </row>
    <row r="14" spans="1:22" s="6" customFormat="1" x14ac:dyDescent="0.25">
      <c r="A14" s="396">
        <v>24000</v>
      </c>
      <c r="B14" s="405" t="s">
        <v>128</v>
      </c>
      <c r="C14" s="406"/>
      <c r="D14" s="407">
        <f t="shared" si="0"/>
        <v>3.9169627175968891E-2</v>
      </c>
      <c r="E14" s="400"/>
      <c r="F14" s="400"/>
      <c r="G14" s="400"/>
      <c r="H14" s="408">
        <f t="shared" si="1"/>
        <v>5.015175487030589E-2</v>
      </c>
      <c r="I14" s="406"/>
      <c r="J14" s="407">
        <f t="shared" si="2"/>
        <v>3.9691099547291574E-2</v>
      </c>
      <c r="K14" s="406"/>
      <c r="L14" s="408">
        <f t="shared" si="3"/>
        <v>5.2293006430941924E-2</v>
      </c>
      <c r="M14" s="406"/>
      <c r="N14" s="407">
        <f t="shared" si="4"/>
        <v>4.8136284577542765E-2</v>
      </c>
      <c r="O14" s="406"/>
      <c r="P14" s="408">
        <f t="shared" si="5"/>
        <v>2.6198879557372771E-2</v>
      </c>
      <c r="Q14" s="406"/>
      <c r="R14" s="407">
        <f t="shared" si="6"/>
        <v>6.2200105407843286E-2</v>
      </c>
      <c r="S14" s="406"/>
      <c r="T14" s="407">
        <f t="shared" si="7"/>
        <v>6.7488099231861304E-2</v>
      </c>
      <c r="U14" s="409">
        <f t="array" ref="U14">SUM($C$3:$T$3*C14:T14)</f>
        <v>4.9718708128404648E-2</v>
      </c>
      <c r="V14" s="410">
        <f t="shared" si="8"/>
        <v>1.9715593210785566E-2</v>
      </c>
    </row>
    <row r="15" spans="1:22" s="6" customFormat="1" x14ac:dyDescent="0.25">
      <c r="A15" s="396">
        <v>25000</v>
      </c>
      <c r="B15" s="405" t="s">
        <v>129</v>
      </c>
      <c r="C15" s="406"/>
      <c r="D15" s="407">
        <f t="shared" si="0"/>
        <v>4.87739463924933E-2</v>
      </c>
      <c r="E15" s="400"/>
      <c r="F15" s="400"/>
      <c r="G15" s="400"/>
      <c r="H15" s="408">
        <f t="shared" si="1"/>
        <v>4.2729207492123618E-2</v>
      </c>
      <c r="I15" s="406"/>
      <c r="J15" s="407">
        <f t="shared" si="2"/>
        <v>5.8370946243885981E-2</v>
      </c>
      <c r="K15" s="406"/>
      <c r="L15" s="408">
        <f t="shared" si="3"/>
        <v>7.8081041815257476E-2</v>
      </c>
      <c r="M15" s="406"/>
      <c r="N15" s="407">
        <f t="shared" si="4"/>
        <v>1.3565026759634722E-2</v>
      </c>
      <c r="O15" s="406"/>
      <c r="P15" s="408">
        <f t="shared" si="5"/>
        <v>5.8603677083051003E-3</v>
      </c>
      <c r="Q15" s="406"/>
      <c r="R15" s="407">
        <f t="shared" si="6"/>
        <v>5.4832773814474461E-2</v>
      </c>
      <c r="S15" s="406"/>
      <c r="T15" s="407">
        <f t="shared" si="7"/>
        <v>4.3069820720496345E-2</v>
      </c>
      <c r="U15" s="409">
        <f t="array" ref="U15">SUM($C$3:$T$3*C15:T15)</f>
        <v>5.4461100818677222E-2</v>
      </c>
      <c r="V15" s="410">
        <f t="shared" si="8"/>
        <v>2.1596154646246524E-2</v>
      </c>
    </row>
    <row r="16" spans="1:22" s="6" customFormat="1" x14ac:dyDescent="0.25">
      <c r="A16" s="396">
        <v>27000</v>
      </c>
      <c r="B16" s="405" t="s">
        <v>131</v>
      </c>
      <c r="C16" s="406"/>
      <c r="D16" s="407">
        <f t="shared" si="0"/>
        <v>8.445859266656898E-2</v>
      </c>
      <c r="E16" s="400"/>
      <c r="F16" s="400"/>
      <c r="G16" s="400"/>
      <c r="H16" s="408">
        <f t="shared" si="1"/>
        <v>9.7034874962381737E-2</v>
      </c>
      <c r="I16" s="406"/>
      <c r="J16" s="407">
        <f t="shared" si="2"/>
        <v>9.9059932557882507E-2</v>
      </c>
      <c r="K16" s="406"/>
      <c r="L16" s="408">
        <f t="shared" si="3"/>
        <v>0.11166706533173684</v>
      </c>
      <c r="M16" s="406"/>
      <c r="N16" s="407">
        <f t="shared" si="4"/>
        <v>1.9093538713519279E-2</v>
      </c>
      <c r="O16" s="406"/>
      <c r="P16" s="408">
        <f t="shared" si="5"/>
        <v>0.12790699629058261</v>
      </c>
      <c r="Q16" s="406"/>
      <c r="R16" s="407">
        <f t="shared" si="6"/>
        <v>0.17040125607453821</v>
      </c>
      <c r="S16" s="406"/>
      <c r="T16" s="407">
        <f t="shared" si="7"/>
        <v>6.2227327259142519E-2</v>
      </c>
      <c r="U16" s="409">
        <f t="array" ref="U16">SUM($C$3:$T$3*C16:T16)</f>
        <v>9.9770939649353838E-2</v>
      </c>
      <c r="V16" s="410">
        <f t="shared" si="8"/>
        <v>3.9563442704592548E-2</v>
      </c>
    </row>
    <row r="17" spans="1:22" s="6" customFormat="1" x14ac:dyDescent="0.25">
      <c r="A17" s="396">
        <v>28000</v>
      </c>
      <c r="B17" s="405" t="s">
        <v>132</v>
      </c>
      <c r="C17" s="406"/>
      <c r="D17" s="407">
        <f t="shared" si="0"/>
        <v>7.6902845084702173E-2</v>
      </c>
      <c r="E17" s="400"/>
      <c r="F17" s="400"/>
      <c r="G17" s="400"/>
      <c r="H17" s="408">
        <f t="shared" si="1"/>
        <v>5.5346831658478618E-2</v>
      </c>
      <c r="I17" s="406"/>
      <c r="J17" s="407">
        <f t="shared" si="2"/>
        <v>7.2183344462115342E-2</v>
      </c>
      <c r="K17" s="406"/>
      <c r="L17" s="408">
        <f t="shared" si="3"/>
        <v>5.1165294698685179E-2</v>
      </c>
      <c r="M17" s="406"/>
      <c r="N17" s="407">
        <f t="shared" si="4"/>
        <v>0.16041066257821704</v>
      </c>
      <c r="O17" s="406"/>
      <c r="P17" s="408">
        <f t="shared" si="5"/>
        <v>4.9964904736251627E-2</v>
      </c>
      <c r="Q17" s="406"/>
      <c r="R17" s="407">
        <f t="shared" si="6"/>
        <v>3.3704066873017899E-2</v>
      </c>
      <c r="S17" s="406"/>
      <c r="T17" s="407">
        <f t="shared" si="7"/>
        <v>0.1097596905132474</v>
      </c>
      <c r="U17" s="409">
        <f t="array" ref="U17">SUM($C$3:$T$3*C17:T17)</f>
        <v>6.6007477524573935E-2</v>
      </c>
      <c r="V17" s="410">
        <f t="shared" si="8"/>
        <v>2.617478660916946E-2</v>
      </c>
    </row>
    <row r="18" spans="1:22" s="6" customFormat="1" x14ac:dyDescent="0.25">
      <c r="A18" s="396">
        <v>31000</v>
      </c>
      <c r="B18" s="405" t="s">
        <v>133</v>
      </c>
      <c r="C18" s="406"/>
      <c r="D18" s="407">
        <f t="shared" si="0"/>
        <v>0.11199752439928762</v>
      </c>
      <c r="E18" s="400"/>
      <c r="F18" s="400"/>
      <c r="G18" s="400"/>
      <c r="H18" s="408">
        <f t="shared" si="1"/>
        <v>0.18821617713106167</v>
      </c>
      <c r="I18" s="406"/>
      <c r="J18" s="407">
        <f t="shared" si="2"/>
        <v>6.1032495225461225E-2</v>
      </c>
      <c r="K18" s="406"/>
      <c r="L18" s="408">
        <f t="shared" si="3"/>
        <v>2.8362402698135232E-2</v>
      </c>
      <c r="M18" s="406"/>
      <c r="N18" s="407">
        <f t="shared" si="4"/>
        <v>1.7908886485075637E-3</v>
      </c>
      <c r="O18" s="406"/>
      <c r="P18" s="408">
        <f t="shared" si="5"/>
        <v>0.24101569337532797</v>
      </c>
      <c r="Q18" s="406"/>
      <c r="R18" s="407">
        <f t="shared" si="6"/>
        <v>3.9295905548803328E-2</v>
      </c>
      <c r="S18" s="406"/>
      <c r="T18" s="407">
        <f t="shared" si="7"/>
        <v>5.1189605418532277E-2</v>
      </c>
      <c r="U18" s="409">
        <f t="array" ref="U18">SUM($C$3:$T$3*C18:T18)</f>
        <v>8.8981628290830561E-2</v>
      </c>
      <c r="V18" s="410">
        <f t="shared" si="8"/>
        <v>3.5285019515884912E-2</v>
      </c>
    </row>
    <row r="19" spans="1:22" s="6" customFormat="1" x14ac:dyDescent="0.25">
      <c r="A19" s="396">
        <v>41000</v>
      </c>
      <c r="B19" s="405" t="s">
        <v>134</v>
      </c>
      <c r="C19" s="406"/>
      <c r="D19" s="407">
        <f t="shared" si="0"/>
        <v>0.15321848458500759</v>
      </c>
      <c r="E19" s="400"/>
      <c r="F19" s="400"/>
      <c r="G19" s="400"/>
      <c r="H19" s="408">
        <f t="shared" si="1"/>
        <v>0.15207255708839529</v>
      </c>
      <c r="I19" s="406"/>
      <c r="J19" s="407">
        <f t="shared" si="2"/>
        <v>0.12750043484894868</v>
      </c>
      <c r="K19" s="406"/>
      <c r="L19" s="408">
        <f t="shared" si="3"/>
        <v>0.10756914765871517</v>
      </c>
      <c r="M19" s="406"/>
      <c r="N19" s="407">
        <f t="shared" si="4"/>
        <v>7.8948826008124143E-3</v>
      </c>
      <c r="O19" s="406"/>
      <c r="P19" s="408">
        <f t="shared" si="5"/>
        <v>0.15303544022794782</v>
      </c>
      <c r="Q19" s="406"/>
      <c r="R19" s="407">
        <f t="shared" si="6"/>
        <v>9.0133207999650397E-2</v>
      </c>
      <c r="S19" s="406"/>
      <c r="T19" s="407">
        <f t="shared" si="7"/>
        <v>8.8292346818120745E-2</v>
      </c>
      <c r="U19" s="409">
        <f t="array" ref="U19">SUM($C$3:$T$3*C19:T19)</f>
        <v>0.12174050311749941</v>
      </c>
      <c r="V19" s="410">
        <f t="shared" si="8"/>
        <v>4.8275313802245541E-2</v>
      </c>
    </row>
    <row r="20" spans="1:22" ht="15" customHeight="1" thickBot="1" x14ac:dyDescent="0.3">
      <c r="A20" s="411">
        <v>43000</v>
      </c>
      <c r="B20" s="412" t="s">
        <v>135</v>
      </c>
      <c r="C20" s="406"/>
      <c r="D20" s="407">
        <f t="shared" si="0"/>
        <v>7.5412931588240958E-2</v>
      </c>
      <c r="E20" s="413"/>
      <c r="F20" s="400"/>
      <c r="G20" s="414"/>
      <c r="H20" s="415">
        <f t="shared" si="1"/>
        <v>8.5260276565284149E-2</v>
      </c>
      <c r="I20" s="406"/>
      <c r="J20" s="407">
        <f t="shared" si="2"/>
        <v>7.8735524956548134E-2</v>
      </c>
      <c r="K20" s="406"/>
      <c r="L20" s="408">
        <f t="shared" si="3"/>
        <v>7.710764151065122E-2</v>
      </c>
      <c r="M20" s="406"/>
      <c r="N20" s="407">
        <f t="shared" si="4"/>
        <v>5.6900991248394317E-2</v>
      </c>
      <c r="O20" s="406"/>
      <c r="P20" s="408">
        <f t="shared" si="5"/>
        <v>0.13401267696218602</v>
      </c>
      <c r="Q20" s="406"/>
      <c r="R20" s="407">
        <f t="shared" si="6"/>
        <v>6.9256752730635668E-2</v>
      </c>
      <c r="S20" s="406"/>
      <c r="T20" s="407">
        <f t="shared" si="7"/>
        <v>6.2565160584750201E-2</v>
      </c>
      <c r="U20" s="409">
        <f t="array" ref="U20">SUM($C$3:$T$3*C20:T20)</f>
        <v>7.8230723948543524E-2</v>
      </c>
      <c r="V20" s="410">
        <f t="shared" si="8"/>
        <v>3.1021826350986388E-2</v>
      </c>
    </row>
    <row r="21" spans="1:22" ht="15.75" thickBot="1" x14ac:dyDescent="0.3">
      <c r="A21" s="991" t="s">
        <v>154</v>
      </c>
      <c r="B21" s="992"/>
      <c r="C21" s="416"/>
      <c r="D21" s="417">
        <f>SUM(D6:D20)</f>
        <v>1.0000000000000002</v>
      </c>
      <c r="E21" s="418"/>
      <c r="F21" s="418"/>
      <c r="G21" s="418"/>
      <c r="H21" s="419">
        <f>SUM(H6:H20)</f>
        <v>1</v>
      </c>
      <c r="I21" s="416"/>
      <c r="J21" s="417">
        <f>SUM(J6:J20)</f>
        <v>1</v>
      </c>
      <c r="K21" s="416"/>
      <c r="L21" s="419">
        <f>SUM(L6:L20)</f>
        <v>0.99999999999999989</v>
      </c>
      <c r="M21" s="416"/>
      <c r="N21" s="417">
        <f>SUM(N6:N20)</f>
        <v>1</v>
      </c>
      <c r="O21" s="416"/>
      <c r="P21" s="419">
        <f>SUM(P6:P20)</f>
        <v>1</v>
      </c>
      <c r="Q21" s="416"/>
      <c r="R21" s="417">
        <f>SUM(R6:R20)</f>
        <v>1</v>
      </c>
      <c r="S21" s="416"/>
      <c r="T21" s="417">
        <f>SUM(T6:T20)</f>
        <v>1</v>
      </c>
      <c r="U21" s="420">
        <f>SUM(U6:U20)</f>
        <v>1</v>
      </c>
      <c r="V21" s="421">
        <f>SUM(V6:V20)</f>
        <v>0.39654274925783739</v>
      </c>
    </row>
    <row r="22" spans="1:22" ht="15.75" thickBot="1" x14ac:dyDescent="0.3"/>
    <row r="23" spans="1:22" ht="15" customHeight="1" x14ac:dyDescent="0.25">
      <c r="A23" s="426">
        <v>12000</v>
      </c>
      <c r="B23" s="397" t="s">
        <v>117</v>
      </c>
      <c r="C23" s="429">
        <v>4959.2639294926912</v>
      </c>
      <c r="D23" s="399">
        <f>C23/$C$38</f>
        <v>7.5942362557088181E-2</v>
      </c>
      <c r="E23" s="429">
        <v>23508</v>
      </c>
      <c r="F23" s="432">
        <v>28578</v>
      </c>
      <c r="G23" s="432">
        <f>E23+F23</f>
        <v>52086</v>
      </c>
      <c r="H23" s="399">
        <f>G23/$G$38</f>
        <v>3.875077373583468E-2</v>
      </c>
      <c r="I23" s="429">
        <v>2741.6984430270081</v>
      </c>
      <c r="J23" s="399">
        <f>I23/$I$38</f>
        <v>7.7975189462136302E-2</v>
      </c>
      <c r="K23" s="429"/>
      <c r="L23" s="402">
        <v>0.10250597240097957</v>
      </c>
      <c r="M23" s="429">
        <v>3608.5</v>
      </c>
      <c r="N23" s="399">
        <f>M23/$M$38</f>
        <v>1.8252850411353039E-2</v>
      </c>
      <c r="O23" s="429">
        <v>2</v>
      </c>
      <c r="P23" s="399">
        <f>O23/$O$38</f>
        <v>8.5579803166452718E-4</v>
      </c>
    </row>
    <row r="24" spans="1:22" ht="15" customHeight="1" x14ac:dyDescent="0.25">
      <c r="A24" s="427">
        <v>13000</v>
      </c>
      <c r="B24" s="405" t="s">
        <v>118</v>
      </c>
      <c r="C24" s="430">
        <v>2953.014177043884</v>
      </c>
      <c r="D24" s="407">
        <f t="shared" ref="D24:D37" si="9">C24/$C$38</f>
        <v>4.5220193249974623E-2</v>
      </c>
      <c r="E24" s="430">
        <v>24330</v>
      </c>
      <c r="F24" s="433">
        <v>25970</v>
      </c>
      <c r="G24" s="433">
        <f t="shared" ref="G24:G37" si="10">E24+F24</f>
        <v>50300</v>
      </c>
      <c r="H24" s="407">
        <f t="shared" ref="H24:H37" si="11">G24/$G$38</f>
        <v>3.7422031235120466E-2</v>
      </c>
      <c r="I24" s="430">
        <v>1876.1650935551077</v>
      </c>
      <c r="J24" s="407">
        <f t="shared" ref="J24:J37" si="12">I24/$I$38</f>
        <v>5.3359015104041868E-2</v>
      </c>
      <c r="K24" s="430"/>
      <c r="L24" s="408">
        <v>2.6279663815339804E-2</v>
      </c>
      <c r="M24" s="430">
        <v>34816.230000000003</v>
      </c>
      <c r="N24" s="407">
        <f t="shared" ref="N24:N37" si="13">M24/$M$38</f>
        <v>0.17611069366142776</v>
      </c>
      <c r="O24" s="430">
        <v>6</v>
      </c>
      <c r="P24" s="407">
        <f t="shared" ref="P24:P37" si="14">O24/$O$38</f>
        <v>2.5673940949935813E-3</v>
      </c>
    </row>
    <row r="25" spans="1:22" ht="15" customHeight="1" x14ac:dyDescent="0.25">
      <c r="A25" s="427">
        <v>16000</v>
      </c>
      <c r="B25" s="405" t="s">
        <v>121</v>
      </c>
      <c r="C25" s="430">
        <v>1818.536496350365</v>
      </c>
      <c r="D25" s="407">
        <f t="shared" si="9"/>
        <v>2.7847672536207135E-2</v>
      </c>
      <c r="E25" s="430">
        <v>2785</v>
      </c>
      <c r="F25" s="433">
        <v>21609</v>
      </c>
      <c r="G25" s="433">
        <f t="shared" si="10"/>
        <v>24394</v>
      </c>
      <c r="H25" s="407">
        <f t="shared" si="11"/>
        <v>1.8148569183887249E-2</v>
      </c>
      <c r="I25" s="430">
        <v>1844.9907313534545</v>
      </c>
      <c r="J25" s="407">
        <f t="shared" si="12"/>
        <v>5.2472401623548597E-2</v>
      </c>
      <c r="K25" s="430"/>
      <c r="L25" s="408">
        <v>2.8404848418009911E-2</v>
      </c>
      <c r="M25" s="430">
        <v>0</v>
      </c>
      <c r="N25" s="407">
        <f t="shared" si="13"/>
        <v>0</v>
      </c>
      <c r="O25" s="430">
        <v>222</v>
      </c>
      <c r="P25" s="407">
        <f t="shared" si="14"/>
        <v>9.4993581514762518E-2</v>
      </c>
    </row>
    <row r="26" spans="1:22" ht="15" customHeight="1" x14ac:dyDescent="0.25">
      <c r="A26" s="427">
        <v>17000</v>
      </c>
      <c r="B26" s="405" t="s">
        <v>122</v>
      </c>
      <c r="C26" s="430">
        <v>4515.0035259549468</v>
      </c>
      <c r="D26" s="407">
        <f t="shared" si="9"/>
        <v>6.9139299619747616E-2</v>
      </c>
      <c r="E26" s="430">
        <v>29353</v>
      </c>
      <c r="F26" s="433">
        <v>39198</v>
      </c>
      <c r="G26" s="433">
        <f t="shared" si="10"/>
        <v>68551</v>
      </c>
      <c r="H26" s="407">
        <f t="shared" si="11"/>
        <v>5.1000351157032664E-2</v>
      </c>
      <c r="I26" s="430">
        <v>2706.87442527639</v>
      </c>
      <c r="J26" s="407">
        <f t="shared" si="12"/>
        <v>7.6984778066293932E-2</v>
      </c>
      <c r="K26" s="430"/>
      <c r="L26" s="408">
        <v>4.5881084160424628E-2</v>
      </c>
      <c r="M26" s="430">
        <v>26273.859999999997</v>
      </c>
      <c r="N26" s="407">
        <f t="shared" si="13"/>
        <v>0.1329008830009234</v>
      </c>
      <c r="O26" s="430">
        <v>253</v>
      </c>
      <c r="P26" s="407">
        <f t="shared" si="14"/>
        <v>0.10825845100556268</v>
      </c>
    </row>
    <row r="27" spans="1:22" ht="15" customHeight="1" x14ac:dyDescent="0.25">
      <c r="A27" s="427">
        <v>18000</v>
      </c>
      <c r="B27" s="405" t="s">
        <v>123</v>
      </c>
      <c r="C27" s="430">
        <v>3101.9520272738346</v>
      </c>
      <c r="D27" s="407">
        <f t="shared" si="9"/>
        <v>4.7500913207904595E-2</v>
      </c>
      <c r="E27" s="430">
        <v>35053</v>
      </c>
      <c r="F27" s="433">
        <v>51051</v>
      </c>
      <c r="G27" s="433">
        <f t="shared" si="10"/>
        <v>86104</v>
      </c>
      <c r="H27" s="407">
        <f t="shared" si="11"/>
        <v>6.4059375297590704E-2</v>
      </c>
      <c r="I27" s="430">
        <v>1424.7484304759323</v>
      </c>
      <c r="J27" s="407">
        <f t="shared" si="12"/>
        <v>4.052051351044509E-2</v>
      </c>
      <c r="K27" s="430"/>
      <c r="L27" s="408">
        <v>2.6161616035391397E-2</v>
      </c>
      <c r="M27" s="430">
        <v>20089.34</v>
      </c>
      <c r="N27" s="407">
        <f t="shared" si="13"/>
        <v>0.10161776856943634</v>
      </c>
      <c r="O27" s="430">
        <v>26</v>
      </c>
      <c r="P27" s="407">
        <f t="shared" si="14"/>
        <v>1.1125374411638854E-2</v>
      </c>
    </row>
    <row r="28" spans="1:22" ht="15" customHeight="1" x14ac:dyDescent="0.25">
      <c r="A28" s="427">
        <v>19000</v>
      </c>
      <c r="B28" s="405" t="s">
        <v>124</v>
      </c>
      <c r="C28" s="430">
        <v>1901.5351949556043</v>
      </c>
      <c r="D28" s="407">
        <f t="shared" si="9"/>
        <v>2.9118650921479392E-2</v>
      </c>
      <c r="E28" s="430">
        <v>11664</v>
      </c>
      <c r="F28" s="433">
        <v>6149</v>
      </c>
      <c r="G28" s="433">
        <f t="shared" si="10"/>
        <v>17813</v>
      </c>
      <c r="H28" s="407">
        <f t="shared" si="11"/>
        <v>1.3252458099228644E-2</v>
      </c>
      <c r="I28" s="430">
        <v>1105.2436886792088</v>
      </c>
      <c r="J28" s="407">
        <f t="shared" si="12"/>
        <v>3.143364881932157E-2</v>
      </c>
      <c r="K28" s="430"/>
      <c r="L28" s="408">
        <v>2.6675892345020946E-2</v>
      </c>
      <c r="M28" s="430">
        <v>19168.900000000001</v>
      </c>
      <c r="N28" s="407">
        <f t="shared" si="13"/>
        <v>9.6961913329689703E-2</v>
      </c>
      <c r="O28" s="430">
        <v>5</v>
      </c>
      <c r="P28" s="407">
        <f t="shared" si="14"/>
        <v>2.1394950791613181E-3</v>
      </c>
    </row>
    <row r="29" spans="1:22" ht="15" customHeight="1" x14ac:dyDescent="0.25">
      <c r="A29" s="427">
        <v>22000</v>
      </c>
      <c r="B29" s="405" t="s">
        <v>126</v>
      </c>
      <c r="C29" s="430">
        <v>2032.3388305847075</v>
      </c>
      <c r="D29" s="407">
        <f t="shared" si="9"/>
        <v>3.1121677431453172E-2</v>
      </c>
      <c r="E29" s="430">
        <v>16819</v>
      </c>
      <c r="F29" s="433">
        <v>37195</v>
      </c>
      <c r="G29" s="433">
        <f t="shared" si="10"/>
        <v>54014</v>
      </c>
      <c r="H29" s="407">
        <f t="shared" si="11"/>
        <v>4.0185160937053613E-2</v>
      </c>
      <c r="I29" s="430">
        <v>1759.8431940535247</v>
      </c>
      <c r="J29" s="407">
        <f t="shared" si="12"/>
        <v>5.0050765732087818E-2</v>
      </c>
      <c r="K29" s="430"/>
      <c r="L29" s="408">
        <v>0.13046424283502522</v>
      </c>
      <c r="M29" s="430">
        <v>272.2</v>
      </c>
      <c r="N29" s="407">
        <f t="shared" si="13"/>
        <v>1.3768673637163079E-3</v>
      </c>
      <c r="O29" s="430">
        <v>48</v>
      </c>
      <c r="P29" s="407">
        <f t="shared" si="14"/>
        <v>2.0539152759948651E-2</v>
      </c>
    </row>
    <row r="30" spans="1:22" ht="15" customHeight="1" x14ac:dyDescent="0.25">
      <c r="A30" s="427">
        <v>23000</v>
      </c>
      <c r="B30" s="405" t="s">
        <v>127</v>
      </c>
      <c r="C30" s="430">
        <v>5496.8980260813796</v>
      </c>
      <c r="D30" s="407">
        <f t="shared" si="9"/>
        <v>8.4175278583875926E-2</v>
      </c>
      <c r="E30" s="430">
        <v>43049</v>
      </c>
      <c r="F30" s="433">
        <v>43647</v>
      </c>
      <c r="G30" s="433">
        <f t="shared" si="10"/>
        <v>86696</v>
      </c>
      <c r="H30" s="407">
        <f t="shared" si="11"/>
        <v>6.449980954194838E-2</v>
      </c>
      <c r="I30" s="430">
        <v>2835.0415022339571</v>
      </c>
      <c r="J30" s="407">
        <f t="shared" si="12"/>
        <v>8.0629909839991354E-2</v>
      </c>
      <c r="K30" s="430"/>
      <c r="L30" s="408">
        <v>0.10738107984568546</v>
      </c>
      <c r="M30" s="430">
        <v>32617.08</v>
      </c>
      <c r="N30" s="407">
        <f t="shared" si="13"/>
        <v>0.16498674853682554</v>
      </c>
      <c r="O30" s="430">
        <v>10</v>
      </c>
      <c r="P30" s="407">
        <f t="shared" si="14"/>
        <v>4.2789901583226361E-3</v>
      </c>
    </row>
    <row r="31" spans="1:22" ht="15" customHeight="1" x14ac:dyDescent="0.25">
      <c r="A31" s="427">
        <v>24000</v>
      </c>
      <c r="B31" s="405" t="s">
        <v>128</v>
      </c>
      <c r="C31" s="430">
        <v>2557.8940744625065</v>
      </c>
      <c r="D31" s="407">
        <f t="shared" si="9"/>
        <v>3.9169627175968891E-2</v>
      </c>
      <c r="E31" s="430">
        <v>27044</v>
      </c>
      <c r="F31" s="433">
        <v>40788</v>
      </c>
      <c r="G31" s="433">
        <f t="shared" si="10"/>
        <v>67832</v>
      </c>
      <c r="H31" s="407">
        <f t="shared" si="11"/>
        <v>5.0465431863632032E-2</v>
      </c>
      <c r="I31" s="430">
        <v>1395.5852698976937</v>
      </c>
      <c r="J31" s="407">
        <f t="shared" si="12"/>
        <v>3.9691099547291574E-2</v>
      </c>
      <c r="K31" s="430"/>
      <c r="L31" s="408">
        <v>5.2293006430941924E-2</v>
      </c>
      <c r="M31" s="430">
        <v>9516.3100000000013</v>
      </c>
      <c r="N31" s="407">
        <f t="shared" si="13"/>
        <v>4.8136284577542765E-2</v>
      </c>
      <c r="O31" s="430">
        <v>67</v>
      </c>
      <c r="P31" s="407">
        <f t="shared" si="14"/>
        <v>2.8669234060761661E-2</v>
      </c>
    </row>
    <row r="32" spans="1:22" ht="15" customHeight="1" x14ac:dyDescent="0.25">
      <c r="A32" s="427">
        <v>25000</v>
      </c>
      <c r="B32" s="405" t="s">
        <v>129</v>
      </c>
      <c r="C32" s="430">
        <v>3185.0849104341664</v>
      </c>
      <c r="D32" s="407">
        <f t="shared" si="9"/>
        <v>4.87739463924933E-2</v>
      </c>
      <c r="E32" s="430">
        <v>20213</v>
      </c>
      <c r="F32" s="433">
        <v>38453</v>
      </c>
      <c r="G32" s="433">
        <f t="shared" si="10"/>
        <v>58666</v>
      </c>
      <c r="H32" s="407">
        <f t="shared" si="11"/>
        <v>4.364614084372917E-2</v>
      </c>
      <c r="I32" s="430">
        <v>2052.390427503693</v>
      </c>
      <c r="J32" s="407">
        <f t="shared" si="12"/>
        <v>5.8370946243885981E-2</v>
      </c>
      <c r="K32" s="430"/>
      <c r="L32" s="408">
        <v>7.8081041815257476E-2</v>
      </c>
      <c r="M32" s="430">
        <v>2681.74</v>
      </c>
      <c r="N32" s="407">
        <f t="shared" si="13"/>
        <v>1.3565026759634722E-2</v>
      </c>
      <c r="O32" s="430">
        <v>12</v>
      </c>
      <c r="P32" s="407">
        <f t="shared" si="14"/>
        <v>5.1347881899871627E-3</v>
      </c>
    </row>
    <row r="33" spans="1:20" ht="15" customHeight="1" x14ac:dyDescent="0.25">
      <c r="A33" s="427">
        <v>27000</v>
      </c>
      <c r="B33" s="405" t="s">
        <v>131</v>
      </c>
      <c r="C33" s="430">
        <v>5515.3992849796759</v>
      </c>
      <c r="D33" s="407">
        <f t="shared" si="9"/>
        <v>8.445859266656898E-2</v>
      </c>
      <c r="E33" s="430">
        <v>27429</v>
      </c>
      <c r="F33" s="433">
        <v>105180</v>
      </c>
      <c r="G33" s="433">
        <f t="shared" si="10"/>
        <v>132609</v>
      </c>
      <c r="H33" s="407">
        <f t="shared" si="11"/>
        <v>9.865801471288449E-2</v>
      </c>
      <c r="I33" s="430">
        <v>3483.0625578946306</v>
      </c>
      <c r="J33" s="407">
        <f t="shared" si="12"/>
        <v>9.9059932557882507E-2</v>
      </c>
      <c r="K33" s="430"/>
      <c r="L33" s="408">
        <v>0.11166706533173684</v>
      </c>
      <c r="M33" s="430">
        <v>3774.7</v>
      </c>
      <c r="N33" s="407">
        <f t="shared" si="13"/>
        <v>1.9093538713519279E-2</v>
      </c>
      <c r="O33" s="430">
        <v>313</v>
      </c>
      <c r="P33" s="407">
        <f t="shared" si="14"/>
        <v>0.1339323919554985</v>
      </c>
    </row>
    <row r="34" spans="1:20" ht="15" customHeight="1" x14ac:dyDescent="0.25">
      <c r="A34" s="427">
        <v>28000</v>
      </c>
      <c r="B34" s="405" t="s">
        <v>132</v>
      </c>
      <c r="C34" s="430">
        <v>5021.9863178108499</v>
      </c>
      <c r="D34" s="407">
        <f t="shared" si="9"/>
        <v>7.6902845084702173E-2</v>
      </c>
      <c r="E34" s="430">
        <v>29818</v>
      </c>
      <c r="F34" s="433">
        <v>44376</v>
      </c>
      <c r="G34" s="433">
        <f t="shared" si="10"/>
        <v>74194</v>
      </c>
      <c r="H34" s="407">
        <f t="shared" si="11"/>
        <v>5.5198612036948862E-2</v>
      </c>
      <c r="I34" s="430">
        <v>2538.0504297506554</v>
      </c>
      <c r="J34" s="407">
        <f t="shared" si="12"/>
        <v>7.2183344462115342E-2</v>
      </c>
      <c r="K34" s="430"/>
      <c r="L34" s="408">
        <v>5.1165294698685179E-2</v>
      </c>
      <c r="M34" s="430">
        <v>31712.41</v>
      </c>
      <c r="N34" s="407">
        <f t="shared" si="13"/>
        <v>0.16041066257821704</v>
      </c>
      <c r="O34" s="430">
        <v>106</v>
      </c>
      <c r="P34" s="407">
        <f t="shared" si="14"/>
        <v>4.5357295678219937E-2</v>
      </c>
    </row>
    <row r="35" spans="1:20" ht="15" customHeight="1" x14ac:dyDescent="0.25">
      <c r="A35" s="427">
        <v>31000</v>
      </c>
      <c r="B35" s="405" t="s">
        <v>133</v>
      </c>
      <c r="C35" s="430">
        <v>7313.7740813414202</v>
      </c>
      <c r="D35" s="407">
        <f t="shared" si="9"/>
        <v>0.11199752439928762</v>
      </c>
      <c r="E35" s="430">
        <v>117658</v>
      </c>
      <c r="F35" s="433">
        <v>142219</v>
      </c>
      <c r="G35" s="433">
        <f t="shared" si="10"/>
        <v>259877</v>
      </c>
      <c r="H35" s="407">
        <f t="shared" si="11"/>
        <v>0.19334244952861632</v>
      </c>
      <c r="I35" s="430">
        <v>2145.9735883675517</v>
      </c>
      <c r="J35" s="407">
        <f t="shared" si="12"/>
        <v>6.1032495225461225E-2</v>
      </c>
      <c r="K35" s="430"/>
      <c r="L35" s="408">
        <v>2.8362402698135232E-2</v>
      </c>
      <c r="M35" s="430">
        <v>354.05</v>
      </c>
      <c r="N35" s="407">
        <f t="shared" si="13"/>
        <v>1.7908886485075637E-3</v>
      </c>
      <c r="O35" s="430">
        <v>522</v>
      </c>
      <c r="P35" s="407">
        <f t="shared" si="14"/>
        <v>0.2233632862644416</v>
      </c>
    </row>
    <row r="36" spans="1:20" ht="15" customHeight="1" x14ac:dyDescent="0.25">
      <c r="A36" s="427">
        <v>41000</v>
      </c>
      <c r="B36" s="405" t="s">
        <v>134</v>
      </c>
      <c r="C36" s="430">
        <v>10005.626350678214</v>
      </c>
      <c r="D36" s="407">
        <f t="shared" si="9"/>
        <v>0.15321848458500759</v>
      </c>
      <c r="E36" s="430">
        <v>62319</v>
      </c>
      <c r="F36" s="433">
        <v>132511</v>
      </c>
      <c r="G36" s="433">
        <f t="shared" si="10"/>
        <v>194830</v>
      </c>
      <c r="H36" s="407">
        <f t="shared" si="11"/>
        <v>0.14494899295305208</v>
      </c>
      <c r="I36" s="430">
        <v>4483.0637299108384</v>
      </c>
      <c r="J36" s="407">
        <f t="shared" si="12"/>
        <v>0.12750043484894868</v>
      </c>
      <c r="K36" s="430"/>
      <c r="L36" s="408">
        <v>0.10756914765871517</v>
      </c>
      <c r="M36" s="430">
        <v>1560.78</v>
      </c>
      <c r="N36" s="407">
        <f t="shared" si="13"/>
        <v>7.8948826008124143E-3</v>
      </c>
      <c r="O36" s="430">
        <v>444</v>
      </c>
      <c r="P36" s="407">
        <f t="shared" si="14"/>
        <v>0.18998716302952504</v>
      </c>
    </row>
    <row r="37" spans="1:20" ht="15" customHeight="1" thickBot="1" x14ac:dyDescent="0.3">
      <c r="A37" s="428">
        <v>43000</v>
      </c>
      <c r="B37" s="412" t="s">
        <v>135</v>
      </c>
      <c r="C37" s="430">
        <v>4924.6905001371497</v>
      </c>
      <c r="D37" s="407">
        <f t="shared" si="9"/>
        <v>7.5412931588240958E-2</v>
      </c>
      <c r="E37" s="434">
        <v>32290</v>
      </c>
      <c r="F37" s="433">
        <v>83872</v>
      </c>
      <c r="G37" s="435">
        <f t="shared" si="10"/>
        <v>116162</v>
      </c>
      <c r="H37" s="415">
        <f t="shared" si="11"/>
        <v>8.6421828873440631E-2</v>
      </c>
      <c r="I37" s="430">
        <v>2768.432724220635</v>
      </c>
      <c r="J37" s="407">
        <f t="shared" si="12"/>
        <v>7.8735524956548134E-2</v>
      </c>
      <c r="K37" s="430"/>
      <c r="L37" s="408">
        <v>7.710764151065122E-2</v>
      </c>
      <c r="M37" s="430">
        <v>11249.05</v>
      </c>
      <c r="N37" s="407">
        <f t="shared" si="13"/>
        <v>5.6900991248394317E-2</v>
      </c>
      <c r="O37" s="430">
        <v>301</v>
      </c>
      <c r="P37" s="407">
        <f t="shared" si="14"/>
        <v>0.12879760376551133</v>
      </c>
    </row>
    <row r="38" spans="1:20" ht="15" customHeight="1" thickBot="1" x14ac:dyDescent="0.3">
      <c r="A38" s="424">
        <v>2018</v>
      </c>
      <c r="B38" s="425" t="s">
        <v>154</v>
      </c>
      <c r="C38" s="431">
        <f t="shared" ref="C38:J38" si="15">SUM(C23:C37)</f>
        <v>65302.997727581387</v>
      </c>
      <c r="D38" s="417">
        <f t="shared" si="15"/>
        <v>1.0000000000000002</v>
      </c>
      <c r="E38" s="431">
        <f t="shared" si="15"/>
        <v>503332</v>
      </c>
      <c r="F38" s="436">
        <f t="shared" si="15"/>
        <v>840796</v>
      </c>
      <c r="G38" s="436">
        <f t="shared" si="15"/>
        <v>1344128</v>
      </c>
      <c r="H38" s="417">
        <f t="shared" si="15"/>
        <v>1</v>
      </c>
      <c r="I38" s="431">
        <f t="shared" si="15"/>
        <v>35161.164236200282</v>
      </c>
      <c r="J38" s="417">
        <f t="shared" si="15"/>
        <v>1</v>
      </c>
      <c r="K38" s="431"/>
      <c r="L38" s="419">
        <f>SUM(L23:L37)</f>
        <v>0.99999999999999989</v>
      </c>
      <c r="M38" s="431">
        <f>SUM(M23:M37)</f>
        <v>197695.14999999997</v>
      </c>
      <c r="N38" s="417">
        <f>SUM(N23:N37)</f>
        <v>1</v>
      </c>
      <c r="O38" s="431">
        <f>SUM(O23:O37)</f>
        <v>2337</v>
      </c>
      <c r="P38" s="417">
        <f>SUM(P23:P37)</f>
        <v>0.99999999999999989</v>
      </c>
    </row>
    <row r="39" spans="1:20" ht="15" customHeight="1" thickBot="1" x14ac:dyDescent="0.3">
      <c r="E39" s="393"/>
      <c r="F39" s="393"/>
      <c r="G39" s="393"/>
      <c r="M39" s="393"/>
    </row>
    <row r="40" spans="1:20" ht="15" customHeight="1" x14ac:dyDescent="0.25">
      <c r="A40" s="426">
        <v>12000</v>
      </c>
      <c r="B40" s="397" t="s">
        <v>117</v>
      </c>
      <c r="E40" s="429">
        <v>25793</v>
      </c>
      <c r="F40" s="432">
        <v>25348</v>
      </c>
      <c r="G40" s="432">
        <f>E40+F40</f>
        <v>51141</v>
      </c>
      <c r="H40" s="399">
        <f>G40/$G$55</f>
        <v>3.9088104730225504E-2</v>
      </c>
      <c r="O40" s="429">
        <v>2</v>
      </c>
      <c r="P40" s="402">
        <f>O40/$O$55</f>
        <v>9.9255583126550868E-4</v>
      </c>
      <c r="Q40" s="429">
        <v>196009</v>
      </c>
      <c r="R40" s="399">
        <f>Q40/$Q$55</f>
        <v>7.5324616191487836E-2</v>
      </c>
      <c r="S40" s="429">
        <v>76.620999999999995</v>
      </c>
      <c r="T40" s="399">
        <f>S40/$S$55</f>
        <v>0.12039594065761221</v>
      </c>
    </row>
    <row r="41" spans="1:20" ht="15" customHeight="1" x14ac:dyDescent="0.25">
      <c r="A41" s="427">
        <v>13000</v>
      </c>
      <c r="B41" s="405" t="s">
        <v>118</v>
      </c>
      <c r="E41" s="430">
        <v>29968</v>
      </c>
      <c r="F41" s="433">
        <v>26034</v>
      </c>
      <c r="G41" s="433">
        <f t="shared" ref="G41:G54" si="16">E41+F41</f>
        <v>56002</v>
      </c>
      <c r="H41" s="407">
        <f t="shared" ref="H41:H54" si="17">G41/$G$55</f>
        <v>4.2803465733992074E-2</v>
      </c>
      <c r="O41" s="430">
        <v>8</v>
      </c>
      <c r="P41" s="408">
        <f t="shared" ref="P41:P54" si="18">O41/$O$55</f>
        <v>3.9702233250620347E-3</v>
      </c>
      <c r="Q41" s="430">
        <v>66535</v>
      </c>
      <c r="R41" s="407">
        <f t="shared" ref="R41:R54" si="19">Q41/$Q$55</f>
        <v>2.5568842952622801E-2</v>
      </c>
      <c r="S41" s="430">
        <v>16.62</v>
      </c>
      <c r="T41" s="407">
        <f t="shared" ref="T41:T54" si="20">S41/$S$55</f>
        <v>2.611530172837101E-2</v>
      </c>
    </row>
    <row r="42" spans="1:20" ht="15" customHeight="1" x14ac:dyDescent="0.25">
      <c r="A42" s="427">
        <v>16000</v>
      </c>
      <c r="B42" s="405" t="s">
        <v>121</v>
      </c>
      <c r="E42" s="430">
        <v>4139</v>
      </c>
      <c r="F42" s="433">
        <v>19004</v>
      </c>
      <c r="G42" s="433">
        <f t="shared" si="16"/>
        <v>23143</v>
      </c>
      <c r="H42" s="407">
        <f t="shared" si="17"/>
        <v>1.7688664824145186E-2</v>
      </c>
      <c r="O42" s="430">
        <v>254</v>
      </c>
      <c r="P42" s="408">
        <f t="shared" si="18"/>
        <v>0.1260545905707196</v>
      </c>
      <c r="Q42" s="430">
        <v>53352.13</v>
      </c>
      <c r="R42" s="407">
        <f t="shared" si="19"/>
        <v>2.0502776480918548E-2</v>
      </c>
      <c r="S42" s="430">
        <v>26.139999999999997</v>
      </c>
      <c r="T42" s="407">
        <f t="shared" si="20"/>
        <v>4.1074247122720703E-2</v>
      </c>
    </row>
    <row r="43" spans="1:20" ht="15" customHeight="1" x14ac:dyDescent="0.25">
      <c r="A43" s="427">
        <v>17000</v>
      </c>
      <c r="B43" s="405" t="s">
        <v>122</v>
      </c>
      <c r="E43" s="430">
        <v>34524</v>
      </c>
      <c r="F43" s="433">
        <v>34329</v>
      </c>
      <c r="G43" s="433">
        <f t="shared" si="16"/>
        <v>68853</v>
      </c>
      <c r="H43" s="407">
        <f t="shared" si="17"/>
        <v>5.2625745976617913E-2</v>
      </c>
      <c r="O43" s="430">
        <v>200</v>
      </c>
      <c r="P43" s="408">
        <f t="shared" si="18"/>
        <v>9.9255583126550875E-2</v>
      </c>
      <c r="Q43" s="430">
        <v>79451</v>
      </c>
      <c r="R43" s="407">
        <f t="shared" si="19"/>
        <v>3.0532353519633789E-2</v>
      </c>
      <c r="S43" s="430">
        <v>49.3</v>
      </c>
      <c r="T43" s="407">
        <f t="shared" si="20"/>
        <v>7.7465967220739507E-2</v>
      </c>
    </row>
    <row r="44" spans="1:20" ht="15" customHeight="1" x14ac:dyDescent="0.25">
      <c r="A44" s="427">
        <v>18000</v>
      </c>
      <c r="B44" s="405" t="s">
        <v>123</v>
      </c>
      <c r="E44" s="430">
        <v>35089</v>
      </c>
      <c r="F44" s="433">
        <v>39534</v>
      </c>
      <c r="G44" s="433">
        <f t="shared" si="16"/>
        <v>74623</v>
      </c>
      <c r="H44" s="407">
        <f t="shared" si="17"/>
        <v>5.7035874137846693E-2</v>
      </c>
      <c r="O44" s="430">
        <v>26</v>
      </c>
      <c r="P44" s="408">
        <f t="shared" si="18"/>
        <v>1.2903225806451613E-2</v>
      </c>
      <c r="Q44" s="430">
        <v>27785</v>
      </c>
      <c r="R44" s="407">
        <f t="shared" si="19"/>
        <v>1.0677542668349358E-2</v>
      </c>
      <c r="S44" s="430">
        <v>21.09</v>
      </c>
      <c r="T44" s="407">
        <f t="shared" si="20"/>
        <v>3.3139092265423858E-2</v>
      </c>
    </row>
    <row r="45" spans="1:20" ht="15" customHeight="1" x14ac:dyDescent="0.25">
      <c r="A45" s="427">
        <v>19000</v>
      </c>
      <c r="B45" s="405" t="s">
        <v>124</v>
      </c>
      <c r="E45" s="430">
        <v>12494</v>
      </c>
      <c r="F45" s="433">
        <v>5418</v>
      </c>
      <c r="G45" s="433">
        <f t="shared" si="16"/>
        <v>17912</v>
      </c>
      <c r="H45" s="407">
        <f t="shared" si="17"/>
        <v>1.36905053074402E-2</v>
      </c>
      <c r="O45" s="430">
        <v>0</v>
      </c>
      <c r="P45" s="408">
        <f t="shared" si="18"/>
        <v>0</v>
      </c>
      <c r="Q45" s="430">
        <v>27062</v>
      </c>
      <c r="R45" s="407">
        <f t="shared" si="19"/>
        <v>1.0399699826916334E-2</v>
      </c>
      <c r="S45" s="430">
        <v>28.289000000000001</v>
      </c>
      <c r="T45" s="407">
        <f t="shared" si="20"/>
        <v>4.4451009061004056E-2</v>
      </c>
    </row>
    <row r="46" spans="1:20" ht="15" customHeight="1" x14ac:dyDescent="0.25">
      <c r="A46" s="427">
        <v>22000</v>
      </c>
      <c r="B46" s="405" t="s">
        <v>126</v>
      </c>
      <c r="E46" s="430">
        <v>15945</v>
      </c>
      <c r="F46" s="433">
        <v>35011</v>
      </c>
      <c r="G46" s="433">
        <f t="shared" si="16"/>
        <v>50956</v>
      </c>
      <c r="H46" s="407">
        <f t="shared" si="17"/>
        <v>3.8946705473756296E-2</v>
      </c>
      <c r="O46" s="430">
        <v>45</v>
      </c>
      <c r="P46" s="408">
        <f t="shared" si="18"/>
        <v>2.2332506203473945E-2</v>
      </c>
      <c r="Q46" s="430">
        <v>423563.57134999998</v>
      </c>
      <c r="R46" s="407">
        <f t="shared" si="19"/>
        <v>0.16277193110844207</v>
      </c>
      <c r="S46" s="430">
        <v>58.75</v>
      </c>
      <c r="T46" s="407">
        <f t="shared" si="20"/>
        <v>9.2314920369542516E-2</v>
      </c>
    </row>
    <row r="47" spans="1:20" ht="15" customHeight="1" x14ac:dyDescent="0.25">
      <c r="A47" s="427">
        <v>23000</v>
      </c>
      <c r="B47" s="405" t="s">
        <v>127</v>
      </c>
      <c r="E47" s="430">
        <v>46361</v>
      </c>
      <c r="F47" s="433">
        <v>45827</v>
      </c>
      <c r="G47" s="433">
        <f t="shared" si="16"/>
        <v>92188</v>
      </c>
      <c r="H47" s="407">
        <f t="shared" si="17"/>
        <v>7.0461160299368983E-2</v>
      </c>
      <c r="O47" s="430">
        <v>2</v>
      </c>
      <c r="P47" s="408">
        <f t="shared" si="18"/>
        <v>9.9255583126550868E-4</v>
      </c>
      <c r="Q47" s="430">
        <v>331632</v>
      </c>
      <c r="R47" s="407">
        <f t="shared" si="19"/>
        <v>0.12744339860320442</v>
      </c>
      <c r="S47" s="430">
        <v>51.2</v>
      </c>
      <c r="T47" s="407">
        <f t="shared" si="20"/>
        <v>8.0451471028435362E-2</v>
      </c>
    </row>
    <row r="48" spans="1:20" ht="15" customHeight="1" x14ac:dyDescent="0.25">
      <c r="A48" s="427">
        <v>24000</v>
      </c>
      <c r="B48" s="405" t="s">
        <v>128</v>
      </c>
      <c r="E48" s="430">
        <v>32912</v>
      </c>
      <c r="F48" s="433">
        <v>33714</v>
      </c>
      <c r="G48" s="433">
        <f t="shared" si="16"/>
        <v>66626</v>
      </c>
      <c r="H48" s="407">
        <f t="shared" si="17"/>
        <v>5.0923604656850759E-2</v>
      </c>
      <c r="O48" s="430">
        <v>47</v>
      </c>
      <c r="P48" s="408">
        <f t="shared" si="18"/>
        <v>2.3325062034739455E-2</v>
      </c>
      <c r="Q48" s="430">
        <v>170062.05300000001</v>
      </c>
      <c r="R48" s="407">
        <f t="shared" si="19"/>
        <v>6.5353421888594207E-2</v>
      </c>
      <c r="S48" s="430">
        <v>42.95</v>
      </c>
      <c r="T48" s="407">
        <f t="shared" si="20"/>
        <v>6.7488099231861304E-2</v>
      </c>
    </row>
    <row r="49" spans="1:20" ht="15" customHeight="1" x14ac:dyDescent="0.25">
      <c r="A49" s="427">
        <v>25000</v>
      </c>
      <c r="B49" s="405" t="s">
        <v>129</v>
      </c>
      <c r="E49" s="430">
        <v>24670</v>
      </c>
      <c r="F49" s="433">
        <v>26450</v>
      </c>
      <c r="G49" s="433">
        <f t="shared" si="16"/>
        <v>51120</v>
      </c>
      <c r="H49" s="407">
        <f t="shared" si="17"/>
        <v>3.9072054003815485E-2</v>
      </c>
      <c r="O49" s="430">
        <v>12</v>
      </c>
      <c r="P49" s="408">
        <f t="shared" si="18"/>
        <v>5.9553349875930521E-3</v>
      </c>
      <c r="Q49" s="430">
        <v>139819.60800000001</v>
      </c>
      <c r="R49" s="407">
        <f t="shared" si="19"/>
        <v>5.3731503699545845E-2</v>
      </c>
      <c r="S49" s="430">
        <v>27.41</v>
      </c>
      <c r="T49" s="407">
        <f t="shared" si="20"/>
        <v>4.3069820720496345E-2</v>
      </c>
    </row>
    <row r="50" spans="1:20" ht="15" customHeight="1" x14ac:dyDescent="0.25">
      <c r="A50" s="427">
        <v>27000</v>
      </c>
      <c r="B50" s="405" t="s">
        <v>131</v>
      </c>
      <c r="E50" s="430">
        <v>28771</v>
      </c>
      <c r="F50" s="433">
        <v>88132</v>
      </c>
      <c r="G50" s="433">
        <f t="shared" si="16"/>
        <v>116903</v>
      </c>
      <c r="H50" s="407">
        <f t="shared" si="17"/>
        <v>8.9351336643349807E-2</v>
      </c>
      <c r="O50" s="430">
        <v>263</v>
      </c>
      <c r="P50" s="408">
        <f t="shared" si="18"/>
        <v>0.13052109181141439</v>
      </c>
      <c r="Q50" s="430">
        <v>451282</v>
      </c>
      <c r="R50" s="407">
        <f t="shared" si="19"/>
        <v>0.1734238909648384</v>
      </c>
      <c r="S50" s="430">
        <v>39.602000000000004</v>
      </c>
      <c r="T50" s="407">
        <f t="shared" si="20"/>
        <v>6.2227327259142519E-2</v>
      </c>
    </row>
    <row r="51" spans="1:20" ht="15" customHeight="1" x14ac:dyDescent="0.25">
      <c r="A51" s="427">
        <v>28000</v>
      </c>
      <c r="B51" s="405" t="s">
        <v>132</v>
      </c>
      <c r="E51" s="430">
        <v>31498</v>
      </c>
      <c r="F51" s="433">
        <v>43613</v>
      </c>
      <c r="G51" s="433">
        <f t="shared" si="16"/>
        <v>75111</v>
      </c>
      <c r="H51" s="407">
        <f t="shared" si="17"/>
        <v>5.7408862446803308E-2</v>
      </c>
      <c r="O51" s="430">
        <v>107</v>
      </c>
      <c r="P51" s="408">
        <f t="shared" si="18"/>
        <v>5.3101736972704712E-2</v>
      </c>
      <c r="Q51" s="430">
        <v>99312</v>
      </c>
      <c r="R51" s="407">
        <f t="shared" si="19"/>
        <v>3.8164769389206821E-2</v>
      </c>
      <c r="S51" s="430">
        <v>69.852000000000004</v>
      </c>
      <c r="T51" s="407">
        <f t="shared" si="20"/>
        <v>0.1097596905132474</v>
      </c>
    </row>
    <row r="52" spans="1:20" ht="15" customHeight="1" x14ac:dyDescent="0.25">
      <c r="A52" s="427">
        <v>31000</v>
      </c>
      <c r="B52" s="405" t="s">
        <v>133</v>
      </c>
      <c r="E52" s="430">
        <v>110757</v>
      </c>
      <c r="F52" s="433">
        <v>131889</v>
      </c>
      <c r="G52" s="433">
        <f t="shared" si="16"/>
        <v>242646</v>
      </c>
      <c r="H52" s="407">
        <f t="shared" si="17"/>
        <v>0.18545926478501198</v>
      </c>
      <c r="O52" s="430">
        <v>492</v>
      </c>
      <c r="P52" s="408">
        <f t="shared" si="18"/>
        <v>0.24416873449131513</v>
      </c>
      <c r="Q52" s="430">
        <v>118626.12876000002</v>
      </c>
      <c r="R52" s="407">
        <f t="shared" si="19"/>
        <v>4.5587027223897972E-2</v>
      </c>
      <c r="S52" s="430">
        <v>32.577500000000001</v>
      </c>
      <c r="T52" s="407">
        <f t="shared" si="20"/>
        <v>5.1189605418532277E-2</v>
      </c>
    </row>
    <row r="53" spans="1:20" ht="15" customHeight="1" x14ac:dyDescent="0.25">
      <c r="A53" s="427">
        <v>41000</v>
      </c>
      <c r="B53" s="405" t="s">
        <v>134</v>
      </c>
      <c r="E53" s="430">
        <v>64652</v>
      </c>
      <c r="F53" s="433">
        <v>138627</v>
      </c>
      <c r="G53" s="433">
        <f t="shared" si="16"/>
        <v>203279</v>
      </c>
      <c r="H53" s="407">
        <f t="shared" si="17"/>
        <v>0.15537026732866996</v>
      </c>
      <c r="O53" s="430">
        <v>284</v>
      </c>
      <c r="P53" s="408">
        <f t="shared" si="18"/>
        <v>0.14094292803970224</v>
      </c>
      <c r="Q53" s="430">
        <v>239180</v>
      </c>
      <c r="R53" s="407">
        <f t="shared" si="19"/>
        <v>9.1914869728839291E-2</v>
      </c>
      <c r="S53" s="430">
        <v>56.19</v>
      </c>
      <c r="T53" s="407">
        <f t="shared" si="20"/>
        <v>8.8292346818120745E-2</v>
      </c>
    </row>
    <row r="54" spans="1:20" ht="15" customHeight="1" thickBot="1" x14ac:dyDescent="0.3">
      <c r="A54" s="428">
        <v>43000</v>
      </c>
      <c r="B54" s="412" t="s">
        <v>135</v>
      </c>
      <c r="E54" s="434">
        <v>39294</v>
      </c>
      <c r="F54" s="433">
        <v>78555</v>
      </c>
      <c r="G54" s="435">
        <f t="shared" si="16"/>
        <v>117849</v>
      </c>
      <c r="H54" s="415">
        <f t="shared" si="17"/>
        <v>9.0074383652105849E-2</v>
      </c>
      <c r="O54" s="430">
        <v>273</v>
      </c>
      <c r="P54" s="408">
        <f t="shared" si="18"/>
        <v>0.13548387096774195</v>
      </c>
      <c r="Q54" s="430">
        <v>178519</v>
      </c>
      <c r="R54" s="407">
        <f t="shared" si="19"/>
        <v>6.8603355753502224E-2</v>
      </c>
      <c r="S54" s="430">
        <v>39.817</v>
      </c>
      <c r="T54" s="407">
        <f t="shared" si="20"/>
        <v>6.2565160584750201E-2</v>
      </c>
    </row>
    <row r="55" spans="1:20" ht="15" customHeight="1" thickBot="1" x14ac:dyDescent="0.3">
      <c r="A55" s="424">
        <v>2017</v>
      </c>
      <c r="B55" s="425" t="s">
        <v>154</v>
      </c>
      <c r="E55" s="431">
        <f>SUM(E40:E54)</f>
        <v>536867</v>
      </c>
      <c r="F55" s="436">
        <f>SUM(F40:F54)</f>
        <v>771485</v>
      </c>
      <c r="G55" s="436">
        <f>SUM(G40:G54)</f>
        <v>1308352</v>
      </c>
      <c r="H55" s="417">
        <f>SUM(H40:H54)</f>
        <v>1</v>
      </c>
      <c r="O55" s="431">
        <f t="shared" ref="O55:T55" si="21">SUM(O40:O54)</f>
        <v>2015</v>
      </c>
      <c r="P55" s="419">
        <f t="shared" si="21"/>
        <v>1</v>
      </c>
      <c r="Q55" s="431">
        <f t="shared" si="21"/>
        <v>2602190.4911100003</v>
      </c>
      <c r="R55" s="417">
        <f t="shared" si="21"/>
        <v>1</v>
      </c>
      <c r="S55" s="431">
        <f t="shared" si="21"/>
        <v>636.4085</v>
      </c>
      <c r="T55" s="417">
        <f t="shared" si="21"/>
        <v>1</v>
      </c>
    </row>
    <row r="56" spans="1:20" ht="15" customHeight="1" thickBot="1" x14ac:dyDescent="0.3">
      <c r="E56" s="393"/>
      <c r="F56" s="393"/>
      <c r="G56" s="393"/>
    </row>
    <row r="57" spans="1:20" ht="15" customHeight="1" x14ac:dyDescent="0.25">
      <c r="A57" s="426">
        <v>12000</v>
      </c>
      <c r="B57" s="397" t="s">
        <v>117</v>
      </c>
      <c r="E57" s="429">
        <v>24218</v>
      </c>
      <c r="F57" s="432">
        <v>24327</v>
      </c>
      <c r="G57" s="432">
        <f>E57+F57</f>
        <v>48545</v>
      </c>
      <c r="H57" s="399">
        <f>G57/$G$72</f>
        <v>3.7121804175505188E-2</v>
      </c>
      <c r="O57" s="429">
        <v>3</v>
      </c>
      <c r="P57" s="402">
        <f>O57/$O$72</f>
        <v>1.7381228273464658E-3</v>
      </c>
      <c r="Q57" s="429">
        <v>183042</v>
      </c>
      <c r="R57" s="399">
        <f>Q57/$Q$72</f>
        <v>7.2785443678992728E-2</v>
      </c>
    </row>
    <row r="58" spans="1:20" ht="15" customHeight="1" x14ac:dyDescent="0.25">
      <c r="A58" s="427">
        <v>13000</v>
      </c>
      <c r="B58" s="405" t="s">
        <v>118</v>
      </c>
      <c r="E58" s="430">
        <v>37153</v>
      </c>
      <c r="F58" s="433">
        <v>24705</v>
      </c>
      <c r="G58" s="433">
        <f t="shared" ref="G58:G71" si="22">E58+F58</f>
        <v>61858</v>
      </c>
      <c r="H58" s="407">
        <f t="shared" ref="H58:H71" si="23">G58/$G$72</f>
        <v>4.7302102434615308E-2</v>
      </c>
      <c r="O58" s="430">
        <v>10</v>
      </c>
      <c r="P58" s="408">
        <f t="shared" ref="P58:P71" si="24">O58/$O$72</f>
        <v>5.7937427578215531E-3</v>
      </c>
      <c r="Q58" s="430">
        <v>46365</v>
      </c>
      <c r="R58" s="407">
        <f t="shared" ref="R58:R71" si="25">Q58/$Q$72</f>
        <v>1.8436736356554767E-2</v>
      </c>
    </row>
    <row r="59" spans="1:20" ht="15" customHeight="1" x14ac:dyDescent="0.25">
      <c r="A59" s="427">
        <v>16000</v>
      </c>
      <c r="B59" s="405" t="s">
        <v>121</v>
      </c>
      <c r="E59" s="430">
        <v>4977</v>
      </c>
      <c r="F59" s="433">
        <v>16460</v>
      </c>
      <c r="G59" s="433">
        <f t="shared" si="22"/>
        <v>21437</v>
      </c>
      <c r="H59" s="407">
        <f t="shared" si="23"/>
        <v>1.6392627790921925E-2</v>
      </c>
      <c r="O59" s="430">
        <v>259</v>
      </c>
      <c r="P59" s="408">
        <f t="shared" si="24"/>
        <v>0.15005793742757823</v>
      </c>
      <c r="Q59" s="430">
        <v>47236.95</v>
      </c>
      <c r="R59" s="407">
        <f t="shared" si="25"/>
        <v>1.8783461521357913E-2</v>
      </c>
    </row>
    <row r="60" spans="1:20" ht="15" customHeight="1" x14ac:dyDescent="0.25">
      <c r="A60" s="427">
        <v>17000</v>
      </c>
      <c r="B60" s="405" t="s">
        <v>122</v>
      </c>
      <c r="E60" s="430">
        <v>34472</v>
      </c>
      <c r="F60" s="433">
        <v>32467</v>
      </c>
      <c r="G60" s="433">
        <f t="shared" si="22"/>
        <v>66939</v>
      </c>
      <c r="H60" s="407">
        <f t="shared" si="23"/>
        <v>5.1187484801815675E-2</v>
      </c>
      <c r="O60" s="430">
        <v>193</v>
      </c>
      <c r="P60" s="408">
        <f t="shared" si="24"/>
        <v>0.11181923522595597</v>
      </c>
      <c r="Q60" s="430">
        <v>76568</v>
      </c>
      <c r="R60" s="407">
        <f t="shared" si="25"/>
        <v>3.0446760042029234E-2</v>
      </c>
    </row>
    <row r="61" spans="1:20" ht="15" customHeight="1" x14ac:dyDescent="0.25">
      <c r="A61" s="427">
        <v>18000</v>
      </c>
      <c r="B61" s="405" t="s">
        <v>123</v>
      </c>
      <c r="E61" s="430">
        <v>37636</v>
      </c>
      <c r="F61" s="433">
        <v>34666</v>
      </c>
      <c r="G61" s="433">
        <f t="shared" si="22"/>
        <v>72302</v>
      </c>
      <c r="H61" s="407">
        <f t="shared" si="23"/>
        <v>5.5288509331494005E-2</v>
      </c>
      <c r="O61" s="430">
        <v>19</v>
      </c>
      <c r="P61" s="408">
        <f t="shared" si="24"/>
        <v>1.100811123986095E-2</v>
      </c>
      <c r="Q61" s="430">
        <v>21599</v>
      </c>
      <c r="R61" s="407">
        <f t="shared" si="25"/>
        <v>8.5886998504308525E-3</v>
      </c>
    </row>
    <row r="62" spans="1:20" ht="15" customHeight="1" x14ac:dyDescent="0.25">
      <c r="A62" s="427">
        <v>19000</v>
      </c>
      <c r="B62" s="405" t="s">
        <v>124</v>
      </c>
      <c r="E62" s="430">
        <v>14022</v>
      </c>
      <c r="F62" s="433">
        <v>4426</v>
      </c>
      <c r="G62" s="433">
        <f t="shared" si="22"/>
        <v>18448</v>
      </c>
      <c r="H62" s="407">
        <f t="shared" si="23"/>
        <v>1.4106973806359455E-2</v>
      </c>
      <c r="O62" s="430">
        <v>0</v>
      </c>
      <c r="P62" s="408">
        <f t="shared" si="24"/>
        <v>0</v>
      </c>
      <c r="Q62" s="430">
        <v>27988</v>
      </c>
      <c r="R62" s="407">
        <f t="shared" si="25"/>
        <v>1.1129243548954056E-2</v>
      </c>
    </row>
    <row r="63" spans="1:20" ht="15" customHeight="1" x14ac:dyDescent="0.25">
      <c r="A63" s="427">
        <v>22000</v>
      </c>
      <c r="B63" s="405" t="s">
        <v>126</v>
      </c>
      <c r="E63" s="430">
        <v>12657</v>
      </c>
      <c r="F63" s="433">
        <v>38059</v>
      </c>
      <c r="G63" s="433">
        <f t="shared" si="22"/>
        <v>50716</v>
      </c>
      <c r="H63" s="407">
        <f t="shared" si="23"/>
        <v>3.8781942951177699E-2</v>
      </c>
      <c r="O63" s="430">
        <v>27</v>
      </c>
      <c r="P63" s="408">
        <f t="shared" si="24"/>
        <v>1.5643105446118192E-2</v>
      </c>
      <c r="Q63" s="430">
        <v>467007.81292999996</v>
      </c>
      <c r="R63" s="407">
        <f t="shared" si="25"/>
        <v>0.18570257572396545</v>
      </c>
    </row>
    <row r="64" spans="1:20" ht="15" customHeight="1" x14ac:dyDescent="0.25">
      <c r="A64" s="427">
        <v>23000</v>
      </c>
      <c r="B64" s="405" t="s">
        <v>127</v>
      </c>
      <c r="E64" s="430">
        <v>52281</v>
      </c>
      <c r="F64" s="433">
        <v>37891</v>
      </c>
      <c r="G64" s="433">
        <f t="shared" si="22"/>
        <v>90172</v>
      </c>
      <c r="H64" s="407">
        <f t="shared" si="23"/>
        <v>6.8953493173625591E-2</v>
      </c>
      <c r="O64" s="430">
        <v>4</v>
      </c>
      <c r="P64" s="408">
        <f t="shared" si="24"/>
        <v>2.3174971031286211E-3</v>
      </c>
      <c r="Q64" s="430">
        <v>355523</v>
      </c>
      <c r="R64" s="407">
        <f t="shared" si="25"/>
        <v>0.14137137538426445</v>
      </c>
    </row>
    <row r="65" spans="1:18" ht="15" customHeight="1" x14ac:dyDescent="0.25">
      <c r="A65" s="427">
        <v>24000</v>
      </c>
      <c r="B65" s="405" t="s">
        <v>128</v>
      </c>
      <c r="E65" s="430">
        <v>34487</v>
      </c>
      <c r="F65" s="433">
        <v>28558</v>
      </c>
      <c r="G65" s="433">
        <f t="shared" si="22"/>
        <v>63045</v>
      </c>
      <c r="H65" s="407">
        <f t="shared" si="23"/>
        <v>4.8209787707173241E-2</v>
      </c>
      <c r="O65" s="430">
        <v>42</v>
      </c>
      <c r="P65" s="408">
        <f t="shared" si="24"/>
        <v>2.4333719582850522E-2</v>
      </c>
      <c r="Q65" s="430">
        <v>147144</v>
      </c>
      <c r="R65" s="407">
        <f t="shared" si="25"/>
        <v>5.8510840816324704E-2</v>
      </c>
    </row>
    <row r="66" spans="1:18" ht="15" customHeight="1" x14ac:dyDescent="0.25">
      <c r="A66" s="427">
        <v>25000</v>
      </c>
      <c r="B66" s="405" t="s">
        <v>129</v>
      </c>
      <c r="E66" s="430">
        <v>31278</v>
      </c>
      <c r="F66" s="433">
        <v>28776</v>
      </c>
      <c r="G66" s="433">
        <f t="shared" si="22"/>
        <v>60054</v>
      </c>
      <c r="H66" s="407">
        <f t="shared" si="23"/>
        <v>4.5922604345571917E-2</v>
      </c>
      <c r="O66" s="430">
        <v>13</v>
      </c>
      <c r="P66" s="408">
        <f t="shared" si="24"/>
        <v>7.5318655851680186E-3</v>
      </c>
      <c r="Q66" s="430">
        <v>154562.26</v>
      </c>
      <c r="R66" s="407">
        <f t="shared" si="25"/>
        <v>6.1460662963297122E-2</v>
      </c>
    </row>
    <row r="67" spans="1:18" ht="15" customHeight="1" x14ac:dyDescent="0.25">
      <c r="A67" s="427">
        <v>27000</v>
      </c>
      <c r="B67" s="405" t="s">
        <v>131</v>
      </c>
      <c r="E67" s="430">
        <v>39931</v>
      </c>
      <c r="F67" s="433">
        <v>96729</v>
      </c>
      <c r="G67" s="433">
        <f t="shared" si="22"/>
        <v>136660</v>
      </c>
      <c r="H67" s="407">
        <f t="shared" si="23"/>
        <v>0.10450233306467277</v>
      </c>
      <c r="O67" s="430">
        <v>188</v>
      </c>
      <c r="P67" s="408">
        <f t="shared" si="24"/>
        <v>0.10892236384704519</v>
      </c>
      <c r="Q67" s="430">
        <v>437709</v>
      </c>
      <c r="R67" s="407">
        <f t="shared" si="25"/>
        <v>0.17405209606149533</v>
      </c>
    </row>
    <row r="68" spans="1:18" ht="15" customHeight="1" x14ac:dyDescent="0.25">
      <c r="A68" s="427">
        <v>28000</v>
      </c>
      <c r="B68" s="405" t="s">
        <v>132</v>
      </c>
      <c r="E68" s="430">
        <v>27786</v>
      </c>
      <c r="F68" s="433">
        <v>41032</v>
      </c>
      <c r="G68" s="433">
        <f t="shared" si="22"/>
        <v>68818</v>
      </c>
      <c r="H68" s="407">
        <f t="shared" si="23"/>
        <v>5.2624334529815971E-2</v>
      </c>
      <c r="O68" s="430">
        <v>98</v>
      </c>
      <c r="P68" s="408">
        <f t="shared" si="24"/>
        <v>5.6778679026651215E-2</v>
      </c>
      <c r="Q68" s="430">
        <v>73644</v>
      </c>
      <c r="R68" s="407">
        <f t="shared" si="25"/>
        <v>2.9284050733141796E-2</v>
      </c>
    </row>
    <row r="69" spans="1:18" ht="15" customHeight="1" x14ac:dyDescent="0.25">
      <c r="A69" s="427">
        <v>31000</v>
      </c>
      <c r="B69" s="405" t="s">
        <v>133</v>
      </c>
      <c r="E69" s="430">
        <v>116641</v>
      </c>
      <c r="F69" s="433">
        <v>118142</v>
      </c>
      <c r="G69" s="433">
        <f t="shared" si="22"/>
        <v>234783</v>
      </c>
      <c r="H69" s="407">
        <f t="shared" si="23"/>
        <v>0.17953586465624957</v>
      </c>
      <c r="O69" s="430">
        <v>484</v>
      </c>
      <c r="P69" s="408">
        <f t="shared" si="24"/>
        <v>0.28041714947856317</v>
      </c>
      <c r="Q69" s="430">
        <v>78302</v>
      </c>
      <c r="R69" s="407">
        <f t="shared" si="25"/>
        <v>3.1136273701950858E-2</v>
      </c>
    </row>
    <row r="70" spans="1:18" ht="15" customHeight="1" x14ac:dyDescent="0.25">
      <c r="A70" s="427">
        <v>41000</v>
      </c>
      <c r="B70" s="405" t="s">
        <v>134</v>
      </c>
      <c r="E70" s="430">
        <v>65095</v>
      </c>
      <c r="F70" s="433">
        <v>150594</v>
      </c>
      <c r="G70" s="433">
        <f t="shared" si="22"/>
        <v>215689</v>
      </c>
      <c r="H70" s="407">
        <f t="shared" si="23"/>
        <v>0.16493490206634132</v>
      </c>
      <c r="O70" s="430">
        <v>136</v>
      </c>
      <c r="P70" s="408">
        <f t="shared" si="24"/>
        <v>7.8794901506373111E-2</v>
      </c>
      <c r="Q70" s="430">
        <v>214531</v>
      </c>
      <c r="R70" s="407">
        <f t="shared" si="25"/>
        <v>8.5306836780072268E-2</v>
      </c>
    </row>
    <row r="71" spans="1:18" ht="15" customHeight="1" thickBot="1" x14ac:dyDescent="0.3">
      <c r="A71" s="428">
        <v>43000</v>
      </c>
      <c r="B71" s="412" t="s">
        <v>135</v>
      </c>
      <c r="E71" s="434">
        <v>39395</v>
      </c>
      <c r="F71" s="433">
        <v>58861</v>
      </c>
      <c r="G71" s="435">
        <f t="shared" si="22"/>
        <v>98256</v>
      </c>
      <c r="H71" s="415">
        <f t="shared" si="23"/>
        <v>7.5135235164660377E-2</v>
      </c>
      <c r="O71" s="430">
        <v>250</v>
      </c>
      <c r="P71" s="408">
        <f t="shared" si="24"/>
        <v>0.14484356894553882</v>
      </c>
      <c r="Q71" s="430">
        <v>183594</v>
      </c>
      <c r="R71" s="407">
        <f t="shared" si="25"/>
        <v>7.3004942837168477E-2</v>
      </c>
    </row>
    <row r="72" spans="1:18" ht="15" customHeight="1" thickBot="1" x14ac:dyDescent="0.3">
      <c r="A72" s="424">
        <v>2016</v>
      </c>
      <c r="B72" s="425" t="s">
        <v>154</v>
      </c>
      <c r="E72" s="431">
        <f>SUM(E57:E71)</f>
        <v>572029</v>
      </c>
      <c r="F72" s="436">
        <f>SUM(F57:F71)</f>
        <v>735693</v>
      </c>
      <c r="G72" s="436">
        <f>SUM(G57:G71)</f>
        <v>1307722</v>
      </c>
      <c r="H72" s="417">
        <f>SUM(H57:H71)</f>
        <v>1</v>
      </c>
      <c r="O72" s="431">
        <f>SUM(O57:O71)</f>
        <v>1726</v>
      </c>
      <c r="P72" s="419">
        <f>SUM(P57:P71)</f>
        <v>1</v>
      </c>
      <c r="Q72" s="431">
        <f>SUM(Q57:Q71)</f>
        <v>2514816.02293</v>
      </c>
      <c r="R72" s="417">
        <f>SUM(R57:R71)</f>
        <v>1</v>
      </c>
    </row>
    <row r="73" spans="1:18" ht="15" customHeight="1" thickBot="1" x14ac:dyDescent="0.3"/>
    <row r="74" spans="1:18" ht="15" customHeight="1" x14ac:dyDescent="0.25">
      <c r="A74" s="426">
        <v>12000</v>
      </c>
      <c r="B74" s="397" t="s">
        <v>117</v>
      </c>
      <c r="Q74" s="429">
        <v>198305.28999999998</v>
      </c>
      <c r="R74" s="399">
        <f>Q74/$Q$89</f>
        <v>8.169475505563456E-2</v>
      </c>
    </row>
    <row r="75" spans="1:18" ht="15" customHeight="1" x14ac:dyDescent="0.25">
      <c r="A75" s="427">
        <v>13000</v>
      </c>
      <c r="B75" s="405" t="s">
        <v>118</v>
      </c>
      <c r="Q75" s="430">
        <v>47534</v>
      </c>
      <c r="R75" s="407">
        <f t="shared" ref="R75:R88" si="26">Q75/$Q$89</f>
        <v>1.9582324237616324E-2</v>
      </c>
    </row>
    <row r="76" spans="1:18" ht="15" customHeight="1" x14ac:dyDescent="0.25">
      <c r="A76" s="427">
        <v>16000</v>
      </c>
      <c r="B76" s="405" t="s">
        <v>121</v>
      </c>
      <c r="Q76" s="430">
        <v>39016.6</v>
      </c>
      <c r="R76" s="407">
        <f t="shared" si="26"/>
        <v>1.6073457143294924E-2</v>
      </c>
    </row>
    <row r="77" spans="1:18" ht="15" customHeight="1" x14ac:dyDescent="0.25">
      <c r="A77" s="427">
        <v>17000</v>
      </c>
      <c r="B77" s="405" t="s">
        <v>122</v>
      </c>
      <c r="Q77" s="430">
        <v>87855.762990000003</v>
      </c>
      <c r="R77" s="407">
        <f t="shared" si="26"/>
        <v>3.6193462300949893E-2</v>
      </c>
    </row>
    <row r="78" spans="1:18" ht="15" customHeight="1" x14ac:dyDescent="0.25">
      <c r="A78" s="427">
        <v>18000</v>
      </c>
      <c r="B78" s="405" t="s">
        <v>123</v>
      </c>
      <c r="Q78" s="430">
        <v>20701</v>
      </c>
      <c r="R78" s="407">
        <f t="shared" si="26"/>
        <v>8.5280787235009776E-3</v>
      </c>
    </row>
    <row r="79" spans="1:18" ht="15" customHeight="1" x14ac:dyDescent="0.25">
      <c r="A79" s="427">
        <v>19000</v>
      </c>
      <c r="B79" s="405" t="s">
        <v>124</v>
      </c>
      <c r="Q79" s="430">
        <v>23307</v>
      </c>
      <c r="R79" s="407">
        <f t="shared" si="26"/>
        <v>9.601658413054312E-3</v>
      </c>
    </row>
    <row r="80" spans="1:18" ht="15" customHeight="1" x14ac:dyDescent="0.25">
      <c r="A80" s="427">
        <v>22000</v>
      </c>
      <c r="B80" s="405" t="s">
        <v>126</v>
      </c>
      <c r="Q80" s="430">
        <v>471659.30453999998</v>
      </c>
      <c r="R80" s="407">
        <f t="shared" si="26"/>
        <v>0.1943069262252472</v>
      </c>
    </row>
    <row r="81" spans="1:18" ht="15" customHeight="1" x14ac:dyDescent="0.25">
      <c r="A81" s="427">
        <v>23000</v>
      </c>
      <c r="B81" s="405" t="s">
        <v>127</v>
      </c>
      <c r="Q81" s="430">
        <v>354350</v>
      </c>
      <c r="R81" s="407">
        <f t="shared" si="26"/>
        <v>0.14597964811712341</v>
      </c>
    </row>
    <row r="82" spans="1:18" ht="15" customHeight="1" x14ac:dyDescent="0.25">
      <c r="A82" s="427">
        <v>24000</v>
      </c>
      <c r="B82" s="405" t="s">
        <v>128</v>
      </c>
      <c r="Q82" s="430">
        <v>145281.20699999999</v>
      </c>
      <c r="R82" s="407">
        <f t="shared" si="26"/>
        <v>5.9850711093243872E-2</v>
      </c>
    </row>
    <row r="83" spans="1:18" ht="15" customHeight="1" x14ac:dyDescent="0.25">
      <c r="A83" s="427">
        <v>25000</v>
      </c>
      <c r="B83" s="405" t="s">
        <v>129</v>
      </c>
      <c r="Q83" s="430">
        <v>115651</v>
      </c>
      <c r="R83" s="407">
        <f t="shared" si="26"/>
        <v>4.7644115378561981E-2</v>
      </c>
    </row>
    <row r="84" spans="1:18" ht="15" customHeight="1" x14ac:dyDescent="0.25">
      <c r="A84" s="427">
        <v>27000</v>
      </c>
      <c r="B84" s="405" t="s">
        <v>131</v>
      </c>
      <c r="Q84" s="430">
        <v>381995</v>
      </c>
      <c r="R84" s="407">
        <f t="shared" si="26"/>
        <v>0.15736840886835207</v>
      </c>
    </row>
    <row r="85" spans="1:18" ht="15" customHeight="1" x14ac:dyDescent="0.25">
      <c r="A85" s="427">
        <v>28000</v>
      </c>
      <c r="B85" s="405" t="s">
        <v>132</v>
      </c>
      <c r="Q85" s="430">
        <v>70837</v>
      </c>
      <c r="R85" s="407">
        <f t="shared" si="26"/>
        <v>2.9182334792359731E-2</v>
      </c>
    </row>
    <row r="86" spans="1:18" ht="15" customHeight="1" x14ac:dyDescent="0.25">
      <c r="A86" s="427">
        <v>31000</v>
      </c>
      <c r="B86" s="405" t="s">
        <v>133</v>
      </c>
      <c r="Q86" s="430">
        <v>86919</v>
      </c>
      <c r="R86" s="407">
        <f t="shared" si="26"/>
        <v>3.5807549131345422E-2</v>
      </c>
    </row>
    <row r="87" spans="1:18" ht="15" customHeight="1" x14ac:dyDescent="0.25">
      <c r="A87" s="427">
        <v>41000</v>
      </c>
      <c r="B87" s="405" t="s">
        <v>134</v>
      </c>
      <c r="Q87" s="430">
        <v>225550</v>
      </c>
      <c r="R87" s="407">
        <f t="shared" si="26"/>
        <v>9.2918610506045385E-2</v>
      </c>
    </row>
    <row r="88" spans="1:18" ht="15" customHeight="1" thickBot="1" x14ac:dyDescent="0.3">
      <c r="A88" s="428">
        <v>43000</v>
      </c>
      <c r="B88" s="412" t="s">
        <v>135</v>
      </c>
      <c r="Q88" s="430">
        <v>158431</v>
      </c>
      <c r="R88" s="407">
        <f t="shared" si="26"/>
        <v>6.5267960013670037E-2</v>
      </c>
    </row>
    <row r="89" spans="1:18" ht="15" customHeight="1" thickBot="1" x14ac:dyDescent="0.3">
      <c r="A89" s="424">
        <v>2015</v>
      </c>
      <c r="B89" s="425" t="s">
        <v>154</v>
      </c>
      <c r="Q89" s="431">
        <f>SUM(Q74:Q88)</f>
        <v>2427393.1645299997</v>
      </c>
      <c r="R89" s="417">
        <f>SUM(R74:R88)</f>
        <v>1.0000000000000002</v>
      </c>
    </row>
    <row r="91" spans="1:18" x14ac:dyDescent="0.25">
      <c r="A91" s="683" t="s">
        <v>2</v>
      </c>
    </row>
  </sheetData>
  <mergeCells count="14">
    <mergeCell ref="A21:B21"/>
    <mergeCell ref="C4:D4"/>
    <mergeCell ref="S4:T4"/>
    <mergeCell ref="U4:U5"/>
    <mergeCell ref="K4:L4"/>
    <mergeCell ref="M4:N4"/>
    <mergeCell ref="O4:P4"/>
    <mergeCell ref="V4:V5"/>
    <mergeCell ref="Q4:R4"/>
    <mergeCell ref="A3:B3"/>
    <mergeCell ref="A4:A5"/>
    <mergeCell ref="B4:B5"/>
    <mergeCell ref="E4:H4"/>
    <mergeCell ref="I4:J4"/>
  </mergeCells>
  <hyperlinks>
    <hyperlink ref="A91" location="'0 Seznam'!A1" display="Seznam"/>
  </hyperlinks>
  <pageMargins left="0.7" right="0.7" top="0.78740157499999996" bottom="0.78740157499999996" header="0.3" footer="0.3"/>
  <pageSetup paperSize="8" orientation="landscape" r:id="rId1"/>
  <headerFooter>
    <oddHeader xml:space="preserve">&amp;LČ. j.: MSMT-2019/2019-1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C2E6"/>
  </sheetPr>
  <dimension ref="A1:V41"/>
  <sheetViews>
    <sheetView zoomScale="85" zoomScaleNormal="85" workbookViewId="0">
      <selection sqref="A1:H1"/>
    </sheetView>
  </sheetViews>
  <sheetFormatPr defaultRowHeight="15" x14ac:dyDescent="0.25"/>
  <cols>
    <col min="1" max="1" width="10.5703125" customWidth="1"/>
    <col min="2" max="2" width="52.28515625" customWidth="1"/>
    <col min="3" max="20" width="10.85546875" customWidth="1"/>
    <col min="21" max="22" width="15.7109375" customWidth="1"/>
  </cols>
  <sheetData>
    <row r="1" spans="1:22" ht="27.75" x14ac:dyDescent="0.25">
      <c r="A1" s="309" t="s">
        <v>196</v>
      </c>
    </row>
    <row r="2" spans="1:22" ht="15.75" thickBot="1" x14ac:dyDescent="0.3"/>
    <row r="3" spans="1:22" ht="15.75" thickBot="1" x14ac:dyDescent="0.3">
      <c r="A3" s="975" t="s">
        <v>163</v>
      </c>
      <c r="B3" s="976"/>
      <c r="C3" s="355"/>
      <c r="D3" s="359">
        <v>0.15</v>
      </c>
      <c r="E3" s="358"/>
      <c r="F3" s="423"/>
      <c r="G3" s="423"/>
      <c r="H3" s="359">
        <v>0.22</v>
      </c>
      <c r="I3" s="358"/>
      <c r="J3" s="359">
        <v>0.1</v>
      </c>
      <c r="K3" s="358"/>
      <c r="L3" s="359">
        <v>0.3</v>
      </c>
      <c r="M3" s="358"/>
      <c r="N3" s="359">
        <v>0.03</v>
      </c>
      <c r="O3" s="358"/>
      <c r="P3" s="359">
        <v>3.5000000000000003E-2</v>
      </c>
      <c r="Q3" s="358"/>
      <c r="R3" s="359">
        <v>6.5000000000000002E-2</v>
      </c>
      <c r="S3" s="358"/>
      <c r="T3" s="359">
        <v>0.1</v>
      </c>
      <c r="U3" s="422">
        <f>SUM(C3:T3)</f>
        <v>1.0000000000000002</v>
      </c>
      <c r="V3" s="437">
        <f>'3 Stanovení podílů segmentů'!D10</f>
        <v>0.55784703168863981</v>
      </c>
    </row>
    <row r="4" spans="1:22" x14ac:dyDescent="0.25">
      <c r="A4" s="979" t="s">
        <v>114</v>
      </c>
      <c r="B4" s="977" t="s">
        <v>115</v>
      </c>
      <c r="C4" s="971" t="s">
        <v>170</v>
      </c>
      <c r="D4" s="972"/>
      <c r="E4" s="988" t="s">
        <v>157</v>
      </c>
      <c r="F4" s="989"/>
      <c r="G4" s="989"/>
      <c r="H4" s="990"/>
      <c r="I4" s="971" t="s">
        <v>158</v>
      </c>
      <c r="J4" s="972"/>
      <c r="K4" s="979" t="s">
        <v>159</v>
      </c>
      <c r="L4" s="987"/>
      <c r="M4" s="979" t="s">
        <v>160</v>
      </c>
      <c r="N4" s="987"/>
      <c r="O4" s="979" t="s">
        <v>161</v>
      </c>
      <c r="P4" s="987"/>
      <c r="Q4" s="979" t="s">
        <v>162</v>
      </c>
      <c r="R4" s="987"/>
      <c r="S4" s="979" t="s">
        <v>277</v>
      </c>
      <c r="T4" s="987"/>
      <c r="U4" s="973" t="s">
        <v>167</v>
      </c>
      <c r="V4" s="973" t="s">
        <v>168</v>
      </c>
    </row>
    <row r="5" spans="1:22" ht="15.75" thickBot="1" x14ac:dyDescent="0.3">
      <c r="A5" s="980"/>
      <c r="B5" s="978"/>
      <c r="C5" s="335" t="s">
        <v>142</v>
      </c>
      <c r="D5" s="336" t="s">
        <v>166</v>
      </c>
      <c r="E5" s="311" t="s">
        <v>164</v>
      </c>
      <c r="F5" s="326" t="s">
        <v>165</v>
      </c>
      <c r="G5" s="312" t="s">
        <v>142</v>
      </c>
      <c r="H5" s="367" t="s">
        <v>166</v>
      </c>
      <c r="I5" s="335" t="s">
        <v>142</v>
      </c>
      <c r="J5" s="336" t="s">
        <v>166</v>
      </c>
      <c r="K5" s="335" t="s">
        <v>142</v>
      </c>
      <c r="L5" s="336" t="s">
        <v>166</v>
      </c>
      <c r="M5" s="335" t="s">
        <v>142</v>
      </c>
      <c r="N5" s="336" t="s">
        <v>166</v>
      </c>
      <c r="O5" s="335" t="s">
        <v>142</v>
      </c>
      <c r="P5" s="336" t="s">
        <v>166</v>
      </c>
      <c r="Q5" s="335" t="s">
        <v>142</v>
      </c>
      <c r="R5" s="336" t="s">
        <v>166</v>
      </c>
      <c r="S5" s="335" t="s">
        <v>142</v>
      </c>
      <c r="T5" s="336" t="s">
        <v>166</v>
      </c>
      <c r="U5" s="974"/>
      <c r="V5" s="974"/>
    </row>
    <row r="6" spans="1:22" x14ac:dyDescent="0.25">
      <c r="A6" s="438">
        <v>11000</v>
      </c>
      <c r="B6" s="439" t="s">
        <v>116</v>
      </c>
      <c r="C6" s="459"/>
      <c r="D6" s="440">
        <f>D13</f>
        <v>0.286468328766671</v>
      </c>
      <c r="E6" s="459"/>
      <c r="F6" s="462"/>
      <c r="G6" s="463"/>
      <c r="H6" s="440">
        <f>0.5*H13+0.3*H20+0.2*H27</f>
        <v>0.38105579675968204</v>
      </c>
      <c r="I6" s="459"/>
      <c r="J6" s="440">
        <f>J13</f>
        <v>0.34290520791216578</v>
      </c>
      <c r="K6" s="459"/>
      <c r="L6" s="441">
        <f>L13</f>
        <v>0.40019053431376589</v>
      </c>
      <c r="M6" s="459"/>
      <c r="N6" s="440">
        <f>N13</f>
        <v>0.12422791055777312</v>
      </c>
      <c r="O6" s="459"/>
      <c r="P6" s="441">
        <f>0.5*P13+0.3*P20+0.2*P27</f>
        <v>0.61909942248204741</v>
      </c>
      <c r="Q6" s="459"/>
      <c r="R6" s="440">
        <f>0.5*R20+0.3*R27+0.2*R34</f>
        <v>0.35126898601719625</v>
      </c>
      <c r="S6" s="459"/>
      <c r="T6" s="440">
        <f>T20</f>
        <v>0.43772535126239015</v>
      </c>
      <c r="U6" s="442">
        <f t="array" ref="U6">SUM($C$3:$T$3*C6:T6)</f>
        <v>0.37315054200843867</v>
      </c>
      <c r="V6" s="443">
        <f>U6*$V$3</f>
        <v>0.20816092223241461</v>
      </c>
    </row>
    <row r="7" spans="1:22" x14ac:dyDescent="0.25">
      <c r="A7" s="438">
        <v>14000</v>
      </c>
      <c r="B7" s="444" t="s">
        <v>119</v>
      </c>
      <c r="C7" s="460"/>
      <c r="D7" s="445">
        <f>D14</f>
        <v>0.25227085993476372</v>
      </c>
      <c r="E7" s="462"/>
      <c r="F7" s="462"/>
      <c r="G7" s="462"/>
      <c r="H7" s="446">
        <f>0.5*H14+0.3*H21+0.2*H28</f>
        <v>0.26931040980769116</v>
      </c>
      <c r="I7" s="460"/>
      <c r="J7" s="445">
        <f>J14</f>
        <v>0.20596353265840725</v>
      </c>
      <c r="K7" s="460"/>
      <c r="L7" s="446">
        <f>L14</f>
        <v>0.17789015436467046</v>
      </c>
      <c r="M7" s="460"/>
      <c r="N7" s="445">
        <f>N14</f>
        <v>6.6672695287815401E-2</v>
      </c>
      <c r="O7" s="460"/>
      <c r="P7" s="446">
        <f>0.5*P14+0.3*P21+0.2*P28</f>
        <v>0.18791973364919007</v>
      </c>
      <c r="Q7" s="460"/>
      <c r="R7" s="445">
        <f>0.5*R21+0.3*R28+0.2*R35</f>
        <v>0.19891984347104669</v>
      </c>
      <c r="S7" s="460"/>
      <c r="T7" s="445">
        <f>T21</f>
        <v>0.17427110050445271</v>
      </c>
      <c r="U7" s="447">
        <f t="array" ref="U7">SUM($C$3:$T$3*C7:T7)</f>
        <v>0.20998659013556792</v>
      </c>
      <c r="V7" s="448">
        <f>U7*$V$3</f>
        <v>0.11714039600154558</v>
      </c>
    </row>
    <row r="8" spans="1:22" s="6" customFormat="1" x14ac:dyDescent="0.25">
      <c r="A8" s="438">
        <v>15000</v>
      </c>
      <c r="B8" s="444" t="s">
        <v>120</v>
      </c>
      <c r="C8" s="460"/>
      <c r="D8" s="445">
        <f>D15</f>
        <v>0.15510616273384681</v>
      </c>
      <c r="E8" s="462"/>
      <c r="F8" s="462"/>
      <c r="G8" s="462"/>
      <c r="H8" s="446">
        <f>0.5*H15+0.3*H22+0.2*H29</f>
        <v>0.11013414709536878</v>
      </c>
      <c r="I8" s="460"/>
      <c r="J8" s="445">
        <f>J15</f>
        <v>0.15007451502277519</v>
      </c>
      <c r="K8" s="460"/>
      <c r="L8" s="446">
        <f>L15</f>
        <v>0.14376305803560885</v>
      </c>
      <c r="M8" s="460"/>
      <c r="N8" s="445">
        <f>N15</f>
        <v>0.13182004149572404</v>
      </c>
      <c r="O8" s="460"/>
      <c r="P8" s="446">
        <f>0.5*P15+0.3*P22+0.2*P29</f>
        <v>8.3518552453904313E-2</v>
      </c>
      <c r="Q8" s="460"/>
      <c r="R8" s="445">
        <f>0.5*R22+0.3*R29+0.2*R36</f>
        <v>9.7146925838662565E-2</v>
      </c>
      <c r="S8" s="460"/>
      <c r="T8" s="445">
        <f>T22</f>
        <v>0.19395906315647662</v>
      </c>
      <c r="U8" s="447">
        <f t="array" ref="U8">SUM($C$3:$T$3*C8:T8)</f>
        <v>0.13822001275993742</v>
      </c>
      <c r="V8" s="448">
        <f>U8*$V$3</f>
        <v>7.7105623838097007E-2</v>
      </c>
    </row>
    <row r="9" spans="1:22" x14ac:dyDescent="0.25">
      <c r="A9" s="438">
        <v>21000</v>
      </c>
      <c r="B9" s="444" t="s">
        <v>125</v>
      </c>
      <c r="C9" s="460"/>
      <c r="D9" s="445">
        <f>D16</f>
        <v>0.14286542319875314</v>
      </c>
      <c r="E9" s="462"/>
      <c r="F9" s="462"/>
      <c r="G9" s="462"/>
      <c r="H9" s="446">
        <f>0.5*H16+0.3*H23+0.2*H30</f>
        <v>0.14592019846627319</v>
      </c>
      <c r="I9" s="460"/>
      <c r="J9" s="445">
        <f>J16</f>
        <v>0.15897310917751525</v>
      </c>
      <c r="K9" s="460"/>
      <c r="L9" s="446">
        <f>L16</f>
        <v>0.17241562234409274</v>
      </c>
      <c r="M9" s="460"/>
      <c r="N9" s="445">
        <f>N16</f>
        <v>0.37364029345354188</v>
      </c>
      <c r="O9" s="460"/>
      <c r="P9" s="446">
        <f>0.5*P16+0.3*P23+0.2*P30</f>
        <v>0.10491049410597045</v>
      </c>
      <c r="Q9" s="460"/>
      <c r="R9" s="445">
        <f>0.5*R23+0.3*R30+0.2*R37</f>
        <v>0.2005242224924792</v>
      </c>
      <c r="S9" s="460"/>
      <c r="T9" s="445">
        <f>T23</f>
        <v>0.12878377302143609</v>
      </c>
      <c r="U9" s="447">
        <f t="array" ref="U9">SUM($C$3:$T$3*C9:T9)</f>
        <v>0.16194778262484241</v>
      </c>
      <c r="V9" s="448">
        <f>U9*$V$3</f>
        <v>9.0342089825825422E-2</v>
      </c>
    </row>
    <row r="10" spans="1:22" ht="15.75" thickBot="1" x14ac:dyDescent="0.3">
      <c r="A10" s="449">
        <v>26000</v>
      </c>
      <c r="B10" s="450" t="s">
        <v>130</v>
      </c>
      <c r="C10" s="460"/>
      <c r="D10" s="445">
        <f>D17</f>
        <v>0.1632892253659653</v>
      </c>
      <c r="E10" s="464"/>
      <c r="F10" s="462"/>
      <c r="G10" s="465"/>
      <c r="H10" s="451">
        <f>0.5*H17+0.3*H24+0.2*H31</f>
        <v>9.3579447870984905E-2</v>
      </c>
      <c r="I10" s="460"/>
      <c r="J10" s="445">
        <f>J17</f>
        <v>0.14208363522913656</v>
      </c>
      <c r="K10" s="460"/>
      <c r="L10" s="446">
        <f>L17</f>
        <v>0.10574063094186212</v>
      </c>
      <c r="M10" s="460"/>
      <c r="N10" s="445">
        <f>N17</f>
        <v>0.30363905920514561</v>
      </c>
      <c r="O10" s="460"/>
      <c r="P10" s="446">
        <f>0.5*P17+0.3*P24+0.2*P31</f>
        <v>4.5517973088877407E-3</v>
      </c>
      <c r="Q10" s="460"/>
      <c r="R10" s="445">
        <f>0.5*R24+0.3*R31+0.2*R38</f>
        <v>0.15214002218061534</v>
      </c>
      <c r="S10" s="460"/>
      <c r="T10" s="445">
        <f>T24</f>
        <v>6.5260712055244433E-2</v>
      </c>
      <c r="U10" s="447">
        <f t="array" ref="U10">SUM($C$3:$T$3*C10:T10)</f>
        <v>0.11669507247121365</v>
      </c>
      <c r="V10" s="448">
        <f>U10*$V$3</f>
        <v>6.5097999790757241E-2</v>
      </c>
    </row>
    <row r="11" spans="1:22" ht="15.75" thickBot="1" x14ac:dyDescent="0.3">
      <c r="A11" s="993" t="s">
        <v>154</v>
      </c>
      <c r="B11" s="994"/>
      <c r="C11" s="461"/>
      <c r="D11" s="452">
        <f>SUM(D6:D10)</f>
        <v>1</v>
      </c>
      <c r="E11" s="466"/>
      <c r="F11" s="466"/>
      <c r="G11" s="466"/>
      <c r="H11" s="453">
        <f>SUM(H6:H10)</f>
        <v>1</v>
      </c>
      <c r="I11" s="461"/>
      <c r="J11" s="452">
        <f>SUM(J6:J10)</f>
        <v>1</v>
      </c>
      <c r="K11" s="461"/>
      <c r="L11" s="453">
        <f>SUM(L6:L10)</f>
        <v>1</v>
      </c>
      <c r="M11" s="461"/>
      <c r="N11" s="452">
        <f>SUM(N6:N10)</f>
        <v>1</v>
      </c>
      <c r="O11" s="461"/>
      <c r="P11" s="453">
        <f>SUM(P6:P10)</f>
        <v>0.99999999999999989</v>
      </c>
      <c r="Q11" s="461"/>
      <c r="R11" s="452">
        <f>SUM(R6:R10)</f>
        <v>1</v>
      </c>
      <c r="S11" s="461"/>
      <c r="T11" s="452">
        <f>SUM(T6:T10)</f>
        <v>0.99999999999999989</v>
      </c>
      <c r="U11" s="454">
        <f>SUM(U6:U10)</f>
        <v>1.0000000000000002</v>
      </c>
      <c r="V11" s="455">
        <f>SUM(V6:V10)</f>
        <v>0.55784703168863981</v>
      </c>
    </row>
    <row r="12" spans="1:22" ht="15.75" thickBot="1" x14ac:dyDescent="0.3">
      <c r="C12" s="393"/>
      <c r="E12" s="393"/>
      <c r="F12" s="393"/>
      <c r="G12" s="393"/>
      <c r="I12" s="393"/>
      <c r="K12" s="393"/>
      <c r="M12" s="393"/>
      <c r="O12" s="393"/>
      <c r="Q12" s="393"/>
      <c r="S12" s="393"/>
    </row>
    <row r="13" spans="1:22" x14ac:dyDescent="0.25">
      <c r="A13" s="457">
        <v>11000</v>
      </c>
      <c r="B13" s="439" t="s">
        <v>116</v>
      </c>
      <c r="C13" s="459">
        <v>18338.596173454938</v>
      </c>
      <c r="D13" s="441">
        <f>C13/$C$18</f>
        <v>0.286468328766671</v>
      </c>
      <c r="E13" s="459">
        <v>273321</v>
      </c>
      <c r="F13" s="463">
        <v>493861</v>
      </c>
      <c r="G13" s="463">
        <f>E13+F13</f>
        <v>767182</v>
      </c>
      <c r="H13" s="440">
        <f>G13/$G$18</f>
        <v>0.38161101126803582</v>
      </c>
      <c r="I13" s="459">
        <v>12179.124766706644</v>
      </c>
      <c r="J13" s="440">
        <f>I13/$I$18</f>
        <v>0.34290520791216578</v>
      </c>
      <c r="K13" s="459"/>
      <c r="L13" s="441">
        <v>0.40019053431376589</v>
      </c>
      <c r="M13" s="459">
        <v>16114.169999999998</v>
      </c>
      <c r="N13" s="440">
        <f>M13/$M$18</f>
        <v>0.12422791055777312</v>
      </c>
      <c r="O13" s="459">
        <v>3299</v>
      </c>
      <c r="P13" s="440">
        <f>O13/$O$18</f>
        <v>0.61825337331334329</v>
      </c>
      <c r="Q13" s="393"/>
      <c r="S13" s="393"/>
    </row>
    <row r="14" spans="1:22" x14ac:dyDescent="0.25">
      <c r="A14" s="438">
        <v>14000</v>
      </c>
      <c r="B14" s="444" t="s">
        <v>119</v>
      </c>
      <c r="C14" s="460">
        <v>16149.406276747504</v>
      </c>
      <c r="D14" s="446">
        <f>C14/$C$18</f>
        <v>0.25227085993476372</v>
      </c>
      <c r="E14" s="460">
        <v>214090</v>
      </c>
      <c r="F14" s="462">
        <v>321022</v>
      </c>
      <c r="G14" s="462">
        <f>E14+F14</f>
        <v>535112</v>
      </c>
      <c r="H14" s="445">
        <f>G14/$G$18</f>
        <v>0.26617495126535967</v>
      </c>
      <c r="I14" s="460">
        <v>7315.3031909650508</v>
      </c>
      <c r="J14" s="445">
        <f>I14/$I$18</f>
        <v>0.20596353265840725</v>
      </c>
      <c r="K14" s="460"/>
      <c r="L14" s="446">
        <v>0.17789015436467046</v>
      </c>
      <c r="M14" s="460">
        <v>8648.42</v>
      </c>
      <c r="N14" s="445">
        <f>M14/$M$18</f>
        <v>6.6672695287815401E-2</v>
      </c>
      <c r="O14" s="460">
        <v>1019</v>
      </c>
      <c r="P14" s="445">
        <f>O14/$O$18</f>
        <v>0.19096701649175413</v>
      </c>
      <c r="Q14" s="393"/>
      <c r="S14" s="393"/>
    </row>
    <row r="15" spans="1:22" x14ac:dyDescent="0.25">
      <c r="A15" s="438">
        <v>15000</v>
      </c>
      <c r="B15" s="444" t="s">
        <v>120</v>
      </c>
      <c r="C15" s="460">
        <v>9929.2975758831435</v>
      </c>
      <c r="D15" s="446">
        <f>C15/$C$18</f>
        <v>0.15510616273384681</v>
      </c>
      <c r="E15" s="460">
        <v>115727</v>
      </c>
      <c r="F15" s="462">
        <v>108563</v>
      </c>
      <c r="G15" s="462">
        <f>E15+F15</f>
        <v>224290</v>
      </c>
      <c r="H15" s="445">
        <f>G15/$G$18</f>
        <v>0.11156613908734531</v>
      </c>
      <c r="I15" s="460">
        <v>5330.2667926628556</v>
      </c>
      <c r="J15" s="445">
        <f>I15/$I$18</f>
        <v>0.15007451502277519</v>
      </c>
      <c r="K15" s="460"/>
      <c r="L15" s="446">
        <v>0.14376305803560885</v>
      </c>
      <c r="M15" s="460">
        <v>17098.98</v>
      </c>
      <c r="N15" s="445">
        <f>M15/$M$18</f>
        <v>0.13182004149572404</v>
      </c>
      <c r="O15" s="460">
        <v>422</v>
      </c>
      <c r="P15" s="445">
        <f>O15/$O$18</f>
        <v>7.9085457271364318E-2</v>
      </c>
      <c r="Q15" s="393"/>
      <c r="S15" s="393"/>
    </row>
    <row r="16" spans="1:22" x14ac:dyDescent="0.25">
      <c r="A16" s="438">
        <v>21000</v>
      </c>
      <c r="B16" s="444" t="s">
        <v>125</v>
      </c>
      <c r="C16" s="460">
        <v>9145.6927000318774</v>
      </c>
      <c r="D16" s="446">
        <f>C16/$C$18</f>
        <v>0.14286542319875314</v>
      </c>
      <c r="E16" s="460">
        <v>83499</v>
      </c>
      <c r="F16" s="462">
        <v>218645</v>
      </c>
      <c r="G16" s="462">
        <f>E16+F16</f>
        <v>302144</v>
      </c>
      <c r="H16" s="445">
        <f>G16/$G$18</f>
        <v>0.15029220887425593</v>
      </c>
      <c r="I16" s="460">
        <v>5646.3223262569272</v>
      </c>
      <c r="J16" s="445">
        <f>I16/$I$18</f>
        <v>0.15897310917751525</v>
      </c>
      <c r="K16" s="460"/>
      <c r="L16" s="446">
        <v>0.17241562234409274</v>
      </c>
      <c r="M16" s="460">
        <v>48466.59</v>
      </c>
      <c r="N16" s="445">
        <f>M16/$M$18</f>
        <v>0.37364029345354188</v>
      </c>
      <c r="O16" s="460">
        <v>564</v>
      </c>
      <c r="P16" s="445">
        <f>O16/$O$18</f>
        <v>0.10569715142428786</v>
      </c>
      <c r="Q16" s="393"/>
      <c r="S16" s="393"/>
    </row>
    <row r="17" spans="1:20" ht="15.75" thickBot="1" x14ac:dyDescent="0.3">
      <c r="A17" s="449">
        <v>26000</v>
      </c>
      <c r="B17" s="450" t="s">
        <v>130</v>
      </c>
      <c r="C17" s="460">
        <v>10453.145645645645</v>
      </c>
      <c r="D17" s="446">
        <f>C17/$C$18</f>
        <v>0.1632892253659653</v>
      </c>
      <c r="E17" s="464">
        <v>87031</v>
      </c>
      <c r="F17" s="462">
        <v>94618</v>
      </c>
      <c r="G17" s="465">
        <f>E17+F17</f>
        <v>181649</v>
      </c>
      <c r="H17" s="451">
        <f>G17/$G$18</f>
        <v>9.0355689505003292E-2</v>
      </c>
      <c r="I17" s="460">
        <v>5046.4509748890741</v>
      </c>
      <c r="J17" s="445">
        <f>I17/$I$18</f>
        <v>0.14208363522913656</v>
      </c>
      <c r="K17" s="460"/>
      <c r="L17" s="446">
        <v>0.10574063094186212</v>
      </c>
      <c r="M17" s="460">
        <v>39386.410000000003</v>
      </c>
      <c r="N17" s="445">
        <f>M17/$M$18</f>
        <v>0.30363905920514561</v>
      </c>
      <c r="O17" s="460">
        <v>32</v>
      </c>
      <c r="P17" s="445">
        <f>O17/$O$18</f>
        <v>5.9970014992503746E-3</v>
      </c>
      <c r="Q17" s="393"/>
      <c r="S17" s="393"/>
    </row>
    <row r="18" spans="1:20" ht="15.75" thickBot="1" x14ac:dyDescent="0.3">
      <c r="A18" s="456">
        <v>2018</v>
      </c>
      <c r="B18" s="458" t="s">
        <v>154</v>
      </c>
      <c r="C18" s="461">
        <f>SUM(C13:C17)</f>
        <v>64016.138371763111</v>
      </c>
      <c r="D18" s="453">
        <f>SUM(D13:D17)</f>
        <v>1</v>
      </c>
      <c r="E18" s="461">
        <f>SUM(E13:E17)</f>
        <v>773668</v>
      </c>
      <c r="F18" s="466">
        <f>SUM(F13:F17)</f>
        <v>1236709</v>
      </c>
      <c r="G18" s="466">
        <f>SUM(G13:G17)</f>
        <v>2010377</v>
      </c>
      <c r="H18" s="452">
        <f t="shared" ref="H18:P18" si="0">SUM(H13:H17)</f>
        <v>1</v>
      </c>
      <c r="I18" s="461">
        <f t="shared" si="0"/>
        <v>35517.468051480551</v>
      </c>
      <c r="J18" s="452">
        <f t="shared" si="0"/>
        <v>1</v>
      </c>
      <c r="K18" s="461">
        <f t="shared" si="0"/>
        <v>0</v>
      </c>
      <c r="L18" s="453">
        <f t="shared" si="0"/>
        <v>1</v>
      </c>
      <c r="M18" s="461">
        <f t="shared" si="0"/>
        <v>129714.56999999999</v>
      </c>
      <c r="N18" s="452">
        <f t="shared" si="0"/>
        <v>1</v>
      </c>
      <c r="O18" s="461">
        <f t="shared" si="0"/>
        <v>5336</v>
      </c>
      <c r="P18" s="452">
        <f t="shared" si="0"/>
        <v>0.99999999999999989</v>
      </c>
      <c r="Q18" s="393"/>
      <c r="S18" s="393"/>
    </row>
    <row r="19" spans="1:20" ht="15.75" thickBot="1" x14ac:dyDescent="0.3">
      <c r="E19" s="393"/>
      <c r="F19" s="393"/>
      <c r="G19" s="393"/>
      <c r="O19" s="393"/>
      <c r="Q19" s="393"/>
      <c r="S19" s="393"/>
    </row>
    <row r="20" spans="1:20" x14ac:dyDescent="0.25">
      <c r="A20" s="457">
        <v>11000</v>
      </c>
      <c r="B20" s="439" t="s">
        <v>116</v>
      </c>
      <c r="E20" s="459">
        <v>264082</v>
      </c>
      <c r="F20" s="463">
        <v>460094</v>
      </c>
      <c r="G20" s="463">
        <f>E20+F20</f>
        <v>724176</v>
      </c>
      <c r="H20" s="440">
        <f>G20/$G$25</f>
        <v>0.37720879162091603</v>
      </c>
      <c r="O20" s="459">
        <v>3076</v>
      </c>
      <c r="P20" s="440">
        <f>O20/$O$25</f>
        <v>0.61866452131938854</v>
      </c>
      <c r="Q20" s="459">
        <v>1710468.9489799996</v>
      </c>
      <c r="R20" s="440">
        <f>Q20/$Q$25</f>
        <v>0.33657541404056429</v>
      </c>
      <c r="S20" s="459">
        <v>451.92</v>
      </c>
      <c r="T20" s="440">
        <f>S20/$S$25</f>
        <v>0.43772535126239015</v>
      </c>
    </row>
    <row r="21" spans="1:20" x14ac:dyDescent="0.25">
      <c r="A21" s="438">
        <v>14000</v>
      </c>
      <c r="B21" s="444" t="s">
        <v>119</v>
      </c>
      <c r="E21" s="460">
        <v>217391</v>
      </c>
      <c r="F21" s="462">
        <v>305042</v>
      </c>
      <c r="G21" s="462">
        <f>E21+F21</f>
        <v>522433</v>
      </c>
      <c r="H21" s="445">
        <f>G21/$G$25</f>
        <v>0.27212489868884088</v>
      </c>
      <c r="O21" s="460">
        <v>906</v>
      </c>
      <c r="P21" s="445">
        <f>O21/$O$25</f>
        <v>0.18222043443282382</v>
      </c>
      <c r="Q21" s="460">
        <v>1048416</v>
      </c>
      <c r="R21" s="445">
        <f>Q21/$Q$25</f>
        <v>0.20630076301424771</v>
      </c>
      <c r="S21" s="460">
        <v>179.92240000000001</v>
      </c>
      <c r="T21" s="445">
        <f>S21/$S$25</f>
        <v>0.17427110050445271</v>
      </c>
    </row>
    <row r="22" spans="1:20" x14ac:dyDescent="0.25">
      <c r="A22" s="438">
        <v>15000</v>
      </c>
      <c r="B22" s="444" t="s">
        <v>120</v>
      </c>
      <c r="E22" s="460">
        <v>124757</v>
      </c>
      <c r="F22" s="462">
        <v>87698</v>
      </c>
      <c r="G22" s="462">
        <f>E22+F22</f>
        <v>212455</v>
      </c>
      <c r="H22" s="445">
        <f>G22/$G$25</f>
        <v>0.11066355944386684</v>
      </c>
      <c r="O22" s="460">
        <v>423</v>
      </c>
      <c r="P22" s="445">
        <f>O22/$O$25</f>
        <v>8.5076427996781973E-2</v>
      </c>
      <c r="Q22" s="460">
        <v>496756.50000000012</v>
      </c>
      <c r="R22" s="445">
        <f>Q22/$Q$25</f>
        <v>9.774864651272698E-2</v>
      </c>
      <c r="S22" s="460">
        <v>200.248808</v>
      </c>
      <c r="T22" s="445">
        <f>S22/$S$25</f>
        <v>0.19395906315647662</v>
      </c>
    </row>
    <row r="23" spans="1:20" x14ac:dyDescent="0.25">
      <c r="A23" s="438">
        <v>21000</v>
      </c>
      <c r="B23" s="444" t="s">
        <v>125</v>
      </c>
      <c r="E23" s="460">
        <v>86023</v>
      </c>
      <c r="F23" s="462">
        <v>185016</v>
      </c>
      <c r="G23" s="462">
        <f>E23+F23</f>
        <v>271039</v>
      </c>
      <c r="H23" s="445">
        <f>G23/$G$25</f>
        <v>0.14117879310021522</v>
      </c>
      <c r="O23" s="460">
        <v>552</v>
      </c>
      <c r="P23" s="445">
        <f>O23/$O$25</f>
        <v>0.11102172164119067</v>
      </c>
      <c r="Q23" s="460">
        <v>1057561.8465999998</v>
      </c>
      <c r="R23" s="445">
        <f>Q23/$Q$25</f>
        <v>0.20810042567867787</v>
      </c>
      <c r="S23" s="460">
        <v>132.96</v>
      </c>
      <c r="T23" s="445">
        <f>S23/$S$25</f>
        <v>0.12878377302143609</v>
      </c>
    </row>
    <row r="24" spans="1:20" ht="15.75" thickBot="1" x14ac:dyDescent="0.3">
      <c r="A24" s="449">
        <v>26000</v>
      </c>
      <c r="B24" s="450" t="s">
        <v>130</v>
      </c>
      <c r="E24" s="464">
        <v>84397</v>
      </c>
      <c r="F24" s="462">
        <v>105328</v>
      </c>
      <c r="G24" s="465">
        <f>E24+F24</f>
        <v>189725</v>
      </c>
      <c r="H24" s="451">
        <f>G24/$G$25</f>
        <v>9.8823957146161004E-2</v>
      </c>
      <c r="O24" s="460">
        <v>15</v>
      </c>
      <c r="P24" s="445">
        <f>O24/$O$25</f>
        <v>3.0168946098149637E-3</v>
      </c>
      <c r="Q24" s="460">
        <v>768775</v>
      </c>
      <c r="R24" s="445">
        <f>Q24/$Q$25</f>
        <v>0.1512747507537831</v>
      </c>
      <c r="S24" s="460">
        <v>67.37700000000001</v>
      </c>
      <c r="T24" s="445">
        <f>S24/$S$25</f>
        <v>6.5260712055244433E-2</v>
      </c>
    </row>
    <row r="25" spans="1:20" ht="15.75" thickBot="1" x14ac:dyDescent="0.3">
      <c r="A25" s="456">
        <v>2017</v>
      </c>
      <c r="B25" s="458" t="s">
        <v>154</v>
      </c>
      <c r="E25" s="461">
        <f>SUM(E20:E24)</f>
        <v>776650</v>
      </c>
      <c r="F25" s="466">
        <f>SUM(F20:F24)</f>
        <v>1143178</v>
      </c>
      <c r="G25" s="466">
        <f>SUM(G20:G24)</f>
        <v>1919828</v>
      </c>
      <c r="H25" s="452">
        <f>SUM(H20:H24)</f>
        <v>0.99999999999999989</v>
      </c>
      <c r="O25" s="461">
        <f t="shared" ref="O25:T25" si="1">SUM(O20:O24)</f>
        <v>4972</v>
      </c>
      <c r="P25" s="452">
        <f t="shared" si="1"/>
        <v>0.99999999999999989</v>
      </c>
      <c r="Q25" s="461">
        <f t="shared" si="1"/>
        <v>5081978.2955799997</v>
      </c>
      <c r="R25" s="452">
        <f t="shared" si="1"/>
        <v>1</v>
      </c>
      <c r="S25" s="461">
        <f t="shared" si="1"/>
        <v>1032.428208</v>
      </c>
      <c r="T25" s="452">
        <f t="shared" si="1"/>
        <v>0.99999999999999989</v>
      </c>
    </row>
    <row r="26" spans="1:20" ht="15.75" thickBot="1" x14ac:dyDescent="0.3">
      <c r="E26" s="393"/>
      <c r="F26" s="393"/>
      <c r="G26" s="393"/>
      <c r="O26" s="393"/>
      <c r="Q26" s="393"/>
      <c r="S26" s="393"/>
    </row>
    <row r="27" spans="1:20" x14ac:dyDescent="0.25">
      <c r="A27" s="457">
        <v>11000</v>
      </c>
      <c r="B27" s="439" t="s">
        <v>116</v>
      </c>
      <c r="E27" s="459">
        <v>246657</v>
      </c>
      <c r="F27" s="463">
        <v>491973</v>
      </c>
      <c r="G27" s="463">
        <f>E27+F27</f>
        <v>738630</v>
      </c>
      <c r="H27" s="440">
        <f>G27/$G$32</f>
        <v>0.38543826819694649</v>
      </c>
      <c r="O27" s="459">
        <v>2878</v>
      </c>
      <c r="P27" s="440">
        <f>O27/$O$32</f>
        <v>0.62186689714779597</v>
      </c>
      <c r="Q27" s="459">
        <v>1722757.1378200003</v>
      </c>
      <c r="R27" s="440">
        <f>Q27/$Q$32</f>
        <v>0.36507116901657438</v>
      </c>
    </row>
    <row r="28" spans="1:20" x14ac:dyDescent="0.25">
      <c r="A28" s="438">
        <v>14000</v>
      </c>
      <c r="B28" s="444" t="s">
        <v>119</v>
      </c>
      <c r="E28" s="460">
        <v>232288</v>
      </c>
      <c r="F28" s="462">
        <v>290733</v>
      </c>
      <c r="G28" s="462">
        <f>E28+F28</f>
        <v>523021</v>
      </c>
      <c r="H28" s="445">
        <f>G28/$G$32</f>
        <v>0.27292732284179511</v>
      </c>
      <c r="O28" s="460">
        <v>874</v>
      </c>
      <c r="P28" s="445">
        <f>O28/$O$32</f>
        <v>0.1888504753673293</v>
      </c>
      <c r="Q28" s="460">
        <v>916068</v>
      </c>
      <c r="R28" s="445">
        <f>Q28/$Q$32</f>
        <v>0.19412487594268071</v>
      </c>
    </row>
    <row r="29" spans="1:20" x14ac:dyDescent="0.25">
      <c r="A29" s="438">
        <v>15000</v>
      </c>
      <c r="B29" s="444" t="s">
        <v>120</v>
      </c>
      <c r="E29" s="460">
        <v>131165</v>
      </c>
      <c r="F29" s="462">
        <v>71507</v>
      </c>
      <c r="G29" s="462">
        <f>E29+F29</f>
        <v>202672</v>
      </c>
      <c r="H29" s="445">
        <f>G29/$G$32</f>
        <v>0.10576004859268041</v>
      </c>
      <c r="O29" s="460">
        <v>427</v>
      </c>
      <c r="P29" s="445">
        <f>O29/$O$32</f>
        <v>9.2264477095937769E-2</v>
      </c>
      <c r="Q29" s="460">
        <v>488137.69999999995</v>
      </c>
      <c r="R29" s="445">
        <f>Q29/$Q$32</f>
        <v>0.10344174281324693</v>
      </c>
    </row>
    <row r="30" spans="1:20" x14ac:dyDescent="0.25">
      <c r="A30" s="438">
        <v>21000</v>
      </c>
      <c r="B30" s="444" t="s">
        <v>125</v>
      </c>
      <c r="E30" s="460">
        <v>91061</v>
      </c>
      <c r="F30" s="462">
        <v>181255</v>
      </c>
      <c r="G30" s="462">
        <f>E30+F30</f>
        <v>272316</v>
      </c>
      <c r="H30" s="445">
        <f>G30/$G$32</f>
        <v>0.14210228049540322</v>
      </c>
      <c r="O30" s="460">
        <v>434</v>
      </c>
      <c r="P30" s="445">
        <f>O30/$O$32</f>
        <v>9.377700950734659E-2</v>
      </c>
      <c r="Q30" s="460">
        <v>839532.61123000004</v>
      </c>
      <c r="R30" s="445">
        <f>Q30/$Q$32</f>
        <v>0.17790618600896282</v>
      </c>
    </row>
    <row r="31" spans="1:20" ht="15.75" thickBot="1" x14ac:dyDescent="0.3">
      <c r="A31" s="449">
        <v>26000</v>
      </c>
      <c r="B31" s="450" t="s">
        <v>130</v>
      </c>
      <c r="E31" s="464">
        <v>97454</v>
      </c>
      <c r="F31" s="462">
        <v>82245</v>
      </c>
      <c r="G31" s="465">
        <f>E31+F31</f>
        <v>179699</v>
      </c>
      <c r="H31" s="451">
        <f>G31/$G$32</f>
        <v>9.3772079873174777E-2</v>
      </c>
      <c r="O31" s="460">
        <v>15</v>
      </c>
      <c r="P31" s="445">
        <f>O31/$O$32</f>
        <v>3.2411408815903198E-3</v>
      </c>
      <c r="Q31" s="460">
        <v>752467</v>
      </c>
      <c r="R31" s="445">
        <f>Q31/$Q$32</f>
        <v>0.15945602621853522</v>
      </c>
    </row>
    <row r="32" spans="1:20" ht="15.75" thickBot="1" x14ac:dyDescent="0.3">
      <c r="A32" s="456">
        <v>2016</v>
      </c>
      <c r="B32" s="458" t="s">
        <v>154</v>
      </c>
      <c r="E32" s="461">
        <f>SUM(E27:E31)</f>
        <v>798625</v>
      </c>
      <c r="F32" s="466">
        <f>SUM(F27:F31)</f>
        <v>1117713</v>
      </c>
      <c r="G32" s="466">
        <f>SUM(G27:G31)</f>
        <v>1916338</v>
      </c>
      <c r="H32" s="452">
        <f>SUM(H27:H31)</f>
        <v>1</v>
      </c>
      <c r="O32" s="461">
        <f>SUM(O27:O31)</f>
        <v>4628</v>
      </c>
      <c r="P32" s="452">
        <f>SUM(P27:P31)</f>
        <v>1</v>
      </c>
      <c r="Q32" s="461">
        <f>SUM(Q27:Q31)</f>
        <v>4718962.4490499999</v>
      </c>
      <c r="R32" s="452">
        <f>SUM(R27:R31)</f>
        <v>1</v>
      </c>
    </row>
    <row r="33" spans="1:18" ht="15.75" thickBot="1" x14ac:dyDescent="0.3">
      <c r="Q33" s="393"/>
    </row>
    <row r="34" spans="1:18" x14ac:dyDescent="0.25">
      <c r="A34" s="457">
        <v>11000</v>
      </c>
      <c r="B34" s="439" t="s">
        <v>116</v>
      </c>
      <c r="Q34" s="459">
        <v>1710114.5071299996</v>
      </c>
      <c r="R34" s="440">
        <f>Q34/$Q$39</f>
        <v>0.36729964145970906</v>
      </c>
    </row>
    <row r="35" spans="1:18" x14ac:dyDescent="0.25">
      <c r="A35" s="438">
        <v>14000</v>
      </c>
      <c r="B35" s="444" t="s">
        <v>119</v>
      </c>
      <c r="Q35" s="460">
        <v>873728.27300000016</v>
      </c>
      <c r="R35" s="445">
        <f>Q35/$Q$39</f>
        <v>0.18765999590559296</v>
      </c>
    </row>
    <row r="36" spans="1:18" x14ac:dyDescent="0.25">
      <c r="A36" s="438">
        <v>15000</v>
      </c>
      <c r="B36" s="444" t="s">
        <v>120</v>
      </c>
      <c r="Q36" s="460">
        <v>401341.4</v>
      </c>
      <c r="R36" s="445">
        <f>Q36/$Q$39</f>
        <v>8.6200398691624963E-2</v>
      </c>
    </row>
    <row r="37" spans="1:18" x14ac:dyDescent="0.25">
      <c r="A37" s="438">
        <v>21000</v>
      </c>
      <c r="B37" s="444" t="s">
        <v>125</v>
      </c>
      <c r="Q37" s="460">
        <v>1003399</v>
      </c>
      <c r="R37" s="445">
        <f>Q37/$Q$39</f>
        <v>0.21551076925225704</v>
      </c>
    </row>
    <row r="38" spans="1:18" ht="15.75" thickBot="1" x14ac:dyDescent="0.3">
      <c r="A38" s="449">
        <v>26000</v>
      </c>
      <c r="B38" s="450" t="s">
        <v>130</v>
      </c>
      <c r="Q38" s="460">
        <v>667328</v>
      </c>
      <c r="R38" s="445">
        <f>Q38/$Q$39</f>
        <v>0.14332919469081609</v>
      </c>
    </row>
    <row r="39" spans="1:18" ht="15.75" thickBot="1" x14ac:dyDescent="0.3">
      <c r="A39" s="456">
        <v>2015</v>
      </c>
      <c r="B39" s="458" t="s">
        <v>154</v>
      </c>
      <c r="Q39" s="461">
        <f>SUM(Q34:Q38)</f>
        <v>4655911.1801299993</v>
      </c>
      <c r="R39" s="452">
        <f>SUM(R34:R38)</f>
        <v>1.0000000000000002</v>
      </c>
    </row>
    <row r="41" spans="1:18" x14ac:dyDescent="0.25">
      <c r="A41" s="683" t="s">
        <v>2</v>
      </c>
    </row>
  </sheetData>
  <mergeCells count="14">
    <mergeCell ref="A3:B3"/>
    <mergeCell ref="A4:A5"/>
    <mergeCell ref="B4:B5"/>
    <mergeCell ref="C4:D4"/>
    <mergeCell ref="E4:H4"/>
    <mergeCell ref="V4:V5"/>
    <mergeCell ref="A11:B11"/>
    <mergeCell ref="K4:L4"/>
    <mergeCell ref="M4:N4"/>
    <mergeCell ref="O4:P4"/>
    <mergeCell ref="Q4:R4"/>
    <mergeCell ref="S4:T4"/>
    <mergeCell ref="U4:U5"/>
    <mergeCell ref="I4:J4"/>
  </mergeCells>
  <hyperlinks>
    <hyperlink ref="A41" location="'0 Seznam'!A1" display="Seznam"/>
  </hyperlinks>
  <pageMargins left="0.7" right="0.7" top="0.78740157499999996" bottom="0.78740157499999996" header="0.3" footer="0.3"/>
  <pageSetup paperSize="9" orientation="landscape" r:id="rId1"/>
  <headerFooter>
    <oddHeader xml:space="preserve">&amp;LČ. j.: MSMT-2019/2019-1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49"/>
  <sheetViews>
    <sheetView zoomScale="85" zoomScaleNormal="85" workbookViewId="0">
      <selection activeCell="K30" sqref="K30"/>
    </sheetView>
  </sheetViews>
  <sheetFormatPr defaultRowHeight="14.25" x14ac:dyDescent="0.2"/>
  <cols>
    <col min="1" max="1" width="9.140625" style="307"/>
    <col min="2" max="2" width="35.7109375" style="307" customWidth="1"/>
    <col min="3" max="3" width="35.140625" style="307" customWidth="1"/>
    <col min="4" max="9" width="26" style="307" customWidth="1"/>
    <col min="10" max="16384" width="9.140625" style="307"/>
  </cols>
  <sheetData>
    <row r="1" spans="1:9" ht="27.75" x14ac:dyDescent="0.2">
      <c r="A1" s="309" t="s">
        <v>198</v>
      </c>
    </row>
    <row r="3" spans="1:9" ht="15" x14ac:dyDescent="0.25">
      <c r="B3" s="547" t="s">
        <v>210</v>
      </c>
      <c r="C3" s="503">
        <v>500000000</v>
      </c>
      <c r="D3" s="502" t="s">
        <v>182</v>
      </c>
    </row>
    <row r="4" spans="1:9" ht="15" thickBot="1" x14ac:dyDescent="0.25"/>
    <row r="5" spans="1:9" ht="27" customHeight="1" x14ac:dyDescent="0.2">
      <c r="A5" s="995" t="s">
        <v>114</v>
      </c>
      <c r="B5" s="1014" t="s">
        <v>115</v>
      </c>
      <c r="C5" s="1011" t="s">
        <v>199</v>
      </c>
      <c r="D5" s="1003" t="s">
        <v>280</v>
      </c>
      <c r="E5" s="1006" t="s">
        <v>206</v>
      </c>
      <c r="F5" s="998" t="s">
        <v>281</v>
      </c>
      <c r="G5" s="998" t="s">
        <v>282</v>
      </c>
      <c r="H5" s="1003" t="s">
        <v>145</v>
      </c>
      <c r="I5" s="1006" t="s">
        <v>212</v>
      </c>
    </row>
    <row r="6" spans="1:9" ht="27" customHeight="1" x14ac:dyDescent="0.2">
      <c r="A6" s="996"/>
      <c r="B6" s="1015"/>
      <c r="C6" s="1012"/>
      <c r="D6" s="1004"/>
      <c r="E6" s="1007"/>
      <c r="F6" s="999"/>
      <c r="G6" s="999"/>
      <c r="H6" s="1004"/>
      <c r="I6" s="1007"/>
    </row>
    <row r="7" spans="1:9" ht="27" customHeight="1" x14ac:dyDescent="0.2">
      <c r="A7" s="996"/>
      <c r="B7" s="1015"/>
      <c r="C7" s="1012"/>
      <c r="D7" s="1005"/>
      <c r="E7" s="1008"/>
      <c r="F7" s="1000"/>
      <c r="G7" s="1000"/>
      <c r="H7" s="1005"/>
      <c r="I7" s="1008"/>
    </row>
    <row r="8" spans="1:9" ht="15" customHeight="1" thickBot="1" x14ac:dyDescent="0.25">
      <c r="A8" s="997"/>
      <c r="B8" s="1016"/>
      <c r="C8" s="1013"/>
      <c r="D8" s="827" t="s">
        <v>207</v>
      </c>
      <c r="E8" s="828" t="s">
        <v>252</v>
      </c>
      <c r="F8" s="828" t="s">
        <v>208</v>
      </c>
      <c r="G8" s="828" t="s">
        <v>209</v>
      </c>
      <c r="H8" s="827" t="s">
        <v>274</v>
      </c>
      <c r="I8" s="828" t="s">
        <v>211</v>
      </c>
    </row>
    <row r="9" spans="1:9" x14ac:dyDescent="0.2">
      <c r="A9" s="523">
        <v>11000</v>
      </c>
      <c r="B9" s="536" t="s">
        <v>116</v>
      </c>
      <c r="C9" s="534" t="s">
        <v>200</v>
      </c>
      <c r="D9" s="596">
        <f>0.5*D19+0.3*D29+0.2*D39</f>
        <v>388.99999999999994</v>
      </c>
      <c r="E9" s="595">
        <f>D9*0.15</f>
        <v>58.349999999999987</v>
      </c>
      <c r="F9" s="541">
        <f>0.5*F19+0.3*F29+0.2*F39</f>
        <v>2219</v>
      </c>
      <c r="G9" s="541">
        <f>E9+F9</f>
        <v>2277.35</v>
      </c>
      <c r="H9" s="592">
        <f t="shared" ref="H9:H16" si="0">G9/$G$17</f>
        <v>0.222119161246212</v>
      </c>
      <c r="I9" s="590">
        <f>H9*$C$3</f>
        <v>111059580.623106</v>
      </c>
    </row>
    <row r="10" spans="1:9" x14ac:dyDescent="0.2">
      <c r="A10" s="522">
        <v>11000</v>
      </c>
      <c r="B10" s="473" t="s">
        <v>116</v>
      </c>
      <c r="C10" s="535" t="s">
        <v>201</v>
      </c>
      <c r="D10" s="553">
        <f t="shared" ref="D10:F16" si="1">0.5*D20+0.3*D30+0.2*D40</f>
        <v>183.3</v>
      </c>
      <c r="E10" s="556">
        <f t="shared" ref="E10:E16" si="2">D10*0.15</f>
        <v>27.495000000000001</v>
      </c>
      <c r="F10" s="542">
        <f t="shared" si="1"/>
        <v>1002.9</v>
      </c>
      <c r="G10" s="542">
        <f t="shared" ref="G10:G16" si="3">E10+F10</f>
        <v>1030.395</v>
      </c>
      <c r="H10" s="567">
        <f t="shared" si="0"/>
        <v>0.10049859404671686</v>
      </c>
      <c r="I10" s="587">
        <f t="shared" ref="I10:I15" si="4">H10*$C$3</f>
        <v>50249297.023358434</v>
      </c>
    </row>
    <row r="11" spans="1:9" x14ac:dyDescent="0.2">
      <c r="A11" s="522">
        <v>11000</v>
      </c>
      <c r="B11" s="473" t="s">
        <v>116</v>
      </c>
      <c r="C11" s="535" t="s">
        <v>202</v>
      </c>
      <c r="D11" s="553">
        <f t="shared" si="1"/>
        <v>179.2</v>
      </c>
      <c r="E11" s="556">
        <f t="shared" si="2"/>
        <v>26.88</v>
      </c>
      <c r="F11" s="542">
        <f t="shared" si="1"/>
        <v>964.5</v>
      </c>
      <c r="G11" s="542">
        <f t="shared" si="3"/>
        <v>991.38</v>
      </c>
      <c r="H11" s="567">
        <f t="shared" si="0"/>
        <v>9.6693303214819712E-2</v>
      </c>
      <c r="I11" s="587">
        <f t="shared" si="4"/>
        <v>48346651.607409857</v>
      </c>
    </row>
    <row r="12" spans="1:9" x14ac:dyDescent="0.2">
      <c r="A12" s="522">
        <v>11000</v>
      </c>
      <c r="B12" s="473" t="s">
        <v>116</v>
      </c>
      <c r="C12" s="535" t="s">
        <v>203</v>
      </c>
      <c r="D12" s="553">
        <f t="shared" si="1"/>
        <v>254.3</v>
      </c>
      <c r="E12" s="556">
        <f t="shared" si="2"/>
        <v>38.145000000000003</v>
      </c>
      <c r="F12" s="542">
        <f t="shared" si="1"/>
        <v>1244.2</v>
      </c>
      <c r="G12" s="542">
        <f t="shared" si="3"/>
        <v>1282.345</v>
      </c>
      <c r="H12" s="567">
        <f t="shared" si="0"/>
        <v>0.12507229711211443</v>
      </c>
      <c r="I12" s="587">
        <f>H12*$C$3-0.2</f>
        <v>62536148.356057212</v>
      </c>
    </row>
    <row r="13" spans="1:9" ht="15" customHeight="1" x14ac:dyDescent="0.2">
      <c r="A13" s="522">
        <v>11000</v>
      </c>
      <c r="B13" s="473" t="s">
        <v>116</v>
      </c>
      <c r="C13" s="535" t="s">
        <v>204</v>
      </c>
      <c r="D13" s="553">
        <f t="shared" si="1"/>
        <v>182.9</v>
      </c>
      <c r="E13" s="556">
        <f t="shared" si="2"/>
        <v>27.434999999999999</v>
      </c>
      <c r="F13" s="542">
        <f t="shared" si="1"/>
        <v>916.19999999999993</v>
      </c>
      <c r="G13" s="542">
        <f t="shared" si="3"/>
        <v>943.63499999999988</v>
      </c>
      <c r="H13" s="567">
        <f t="shared" si="0"/>
        <v>9.2036540155254684E-2</v>
      </c>
      <c r="I13" s="587">
        <f t="shared" si="4"/>
        <v>46018270.077627338</v>
      </c>
    </row>
    <row r="14" spans="1:9" x14ac:dyDescent="0.2">
      <c r="A14" s="522">
        <v>14000</v>
      </c>
      <c r="B14" s="473" t="s">
        <v>119</v>
      </c>
      <c r="C14" s="535" t="s">
        <v>205</v>
      </c>
      <c r="D14" s="553">
        <f t="shared" si="1"/>
        <v>367.4</v>
      </c>
      <c r="E14" s="556">
        <f t="shared" si="2"/>
        <v>55.109999999999992</v>
      </c>
      <c r="F14" s="542">
        <f t="shared" si="1"/>
        <v>1995.8</v>
      </c>
      <c r="G14" s="542">
        <f t="shared" si="3"/>
        <v>2050.91</v>
      </c>
      <c r="H14" s="567">
        <f t="shared" si="0"/>
        <v>0.20003355171206388</v>
      </c>
      <c r="I14" s="587">
        <f t="shared" si="4"/>
        <v>100016775.85603194</v>
      </c>
    </row>
    <row r="15" spans="1:9" ht="15" customHeight="1" x14ac:dyDescent="0.2">
      <c r="A15" s="522">
        <v>15000</v>
      </c>
      <c r="B15" s="473" t="s">
        <v>120</v>
      </c>
      <c r="C15" s="535" t="s">
        <v>205</v>
      </c>
      <c r="D15" s="553">
        <f t="shared" si="1"/>
        <v>216.70000000000002</v>
      </c>
      <c r="E15" s="556">
        <f t="shared" si="2"/>
        <v>32.505000000000003</v>
      </c>
      <c r="F15" s="542">
        <f t="shared" si="1"/>
        <v>1100.7</v>
      </c>
      <c r="G15" s="542">
        <f t="shared" si="3"/>
        <v>1133.2050000000002</v>
      </c>
      <c r="H15" s="567">
        <f t="shared" si="0"/>
        <v>0.11052606938767151</v>
      </c>
      <c r="I15" s="587">
        <f t="shared" si="4"/>
        <v>55263034.693835758</v>
      </c>
    </row>
    <row r="16" spans="1:9" ht="15" thickBot="1" x14ac:dyDescent="0.25">
      <c r="A16" s="522">
        <v>17000</v>
      </c>
      <c r="B16" s="537" t="s">
        <v>122</v>
      </c>
      <c r="C16" s="535" t="s">
        <v>205</v>
      </c>
      <c r="D16" s="554">
        <f t="shared" si="1"/>
        <v>111.39999999999999</v>
      </c>
      <c r="E16" s="557">
        <f t="shared" si="2"/>
        <v>16.709999999999997</v>
      </c>
      <c r="F16" s="543">
        <f t="shared" si="1"/>
        <v>526.9</v>
      </c>
      <c r="G16" s="543">
        <f t="shared" si="3"/>
        <v>543.61</v>
      </c>
      <c r="H16" s="593">
        <f t="shared" si="0"/>
        <v>5.3020483125146914E-2</v>
      </c>
      <c r="I16" s="588">
        <f>H16*$C$3-0.2</f>
        <v>26510241.362573456</v>
      </c>
    </row>
    <row r="17" spans="1:9" ht="15.75" thickBot="1" x14ac:dyDescent="0.3">
      <c r="A17" s="1009" t="s">
        <v>142</v>
      </c>
      <c r="B17" s="1010"/>
      <c r="C17" s="1002"/>
      <c r="D17" s="555">
        <f t="shared" ref="D17:I17" si="5">SUM(D9:D16)</f>
        <v>1884.2</v>
      </c>
      <c r="E17" s="597">
        <f t="shared" si="5"/>
        <v>282.62999999999994</v>
      </c>
      <c r="F17" s="544">
        <f t="shared" si="5"/>
        <v>9970.1999999999989</v>
      </c>
      <c r="G17" s="544">
        <f t="shared" si="5"/>
        <v>10252.83</v>
      </c>
      <c r="H17" s="594">
        <f t="shared" si="5"/>
        <v>0.99999999999999989</v>
      </c>
      <c r="I17" s="591">
        <f t="shared" si="5"/>
        <v>499999999.60000002</v>
      </c>
    </row>
    <row r="18" spans="1:9" ht="15" thickBot="1" x14ac:dyDescent="0.25">
      <c r="D18" s="545"/>
      <c r="E18" s="546"/>
      <c r="F18" s="545"/>
      <c r="G18" s="829"/>
      <c r="H18" s="829"/>
    </row>
    <row r="19" spans="1:9" x14ac:dyDescent="0.2">
      <c r="A19" s="533">
        <v>11000</v>
      </c>
      <c r="B19" s="536" t="s">
        <v>116</v>
      </c>
      <c r="C19" s="538" t="s">
        <v>200</v>
      </c>
      <c r="D19" s="842">
        <v>347</v>
      </c>
      <c r="E19" s="829"/>
      <c r="F19" s="842">
        <v>2106</v>
      </c>
      <c r="G19" s="829"/>
      <c r="H19" s="829"/>
    </row>
    <row r="20" spans="1:9" x14ac:dyDescent="0.2">
      <c r="A20" s="522">
        <v>11000</v>
      </c>
      <c r="B20" s="473" t="s">
        <v>116</v>
      </c>
      <c r="C20" s="535" t="s">
        <v>201</v>
      </c>
      <c r="D20" s="843">
        <v>185</v>
      </c>
      <c r="E20" s="829"/>
      <c r="F20" s="843">
        <v>1026</v>
      </c>
      <c r="G20" s="829"/>
      <c r="H20" s="829"/>
    </row>
    <row r="21" spans="1:9" x14ac:dyDescent="0.2">
      <c r="A21" s="522">
        <v>11000</v>
      </c>
      <c r="B21" s="473" t="s">
        <v>116</v>
      </c>
      <c r="C21" s="535" t="s">
        <v>202</v>
      </c>
      <c r="D21" s="843">
        <v>175</v>
      </c>
      <c r="E21" s="829"/>
      <c r="F21" s="843">
        <v>972</v>
      </c>
      <c r="G21" s="829"/>
      <c r="H21" s="829"/>
    </row>
    <row r="22" spans="1:9" x14ac:dyDescent="0.2">
      <c r="A22" s="522">
        <v>11000</v>
      </c>
      <c r="B22" s="473" t="s">
        <v>116</v>
      </c>
      <c r="C22" s="535" t="s">
        <v>203</v>
      </c>
      <c r="D22" s="843">
        <v>250</v>
      </c>
      <c r="E22" s="829"/>
      <c r="F22" s="843">
        <v>1239</v>
      </c>
      <c r="G22" s="829"/>
      <c r="H22" s="829"/>
    </row>
    <row r="23" spans="1:9" x14ac:dyDescent="0.2">
      <c r="A23" s="522">
        <v>11000</v>
      </c>
      <c r="B23" s="473" t="s">
        <v>116</v>
      </c>
      <c r="C23" s="535" t="s">
        <v>204</v>
      </c>
      <c r="D23" s="843">
        <v>185</v>
      </c>
      <c r="E23" s="829"/>
      <c r="F23" s="843">
        <v>914</v>
      </c>
      <c r="G23" s="829"/>
      <c r="H23" s="829"/>
    </row>
    <row r="24" spans="1:9" x14ac:dyDescent="0.2">
      <c r="A24" s="522">
        <v>14000</v>
      </c>
      <c r="B24" s="473" t="s">
        <v>119</v>
      </c>
      <c r="C24" s="535" t="s">
        <v>205</v>
      </c>
      <c r="D24" s="843">
        <v>338</v>
      </c>
      <c r="E24" s="829"/>
      <c r="F24" s="843">
        <v>1959</v>
      </c>
      <c r="G24" s="829"/>
      <c r="H24" s="829"/>
    </row>
    <row r="25" spans="1:9" ht="15" customHeight="1" x14ac:dyDescent="0.2">
      <c r="A25" s="522">
        <v>15000</v>
      </c>
      <c r="B25" s="473" t="s">
        <v>120</v>
      </c>
      <c r="C25" s="535" t="s">
        <v>205</v>
      </c>
      <c r="D25" s="843">
        <v>215</v>
      </c>
      <c r="E25" s="829"/>
      <c r="F25" s="843">
        <v>1102</v>
      </c>
      <c r="G25" s="829"/>
      <c r="H25" s="829"/>
    </row>
    <row r="26" spans="1:9" ht="15" thickBot="1" x14ac:dyDescent="0.25">
      <c r="A26" s="522">
        <v>17000</v>
      </c>
      <c r="B26" s="537" t="s">
        <v>122</v>
      </c>
      <c r="C26" s="535" t="s">
        <v>205</v>
      </c>
      <c r="D26" s="844">
        <v>112</v>
      </c>
      <c r="E26" s="829"/>
      <c r="F26" s="844">
        <v>522</v>
      </c>
      <c r="G26" s="829"/>
      <c r="H26" s="829"/>
    </row>
    <row r="27" spans="1:9" ht="15.75" thickBot="1" x14ac:dyDescent="0.3">
      <c r="A27" s="826">
        <v>2017</v>
      </c>
      <c r="B27" s="1001" t="s">
        <v>142</v>
      </c>
      <c r="C27" s="1002"/>
      <c r="D27" s="845">
        <f>SUM(D19:D26)</f>
        <v>1807</v>
      </c>
      <c r="E27" s="829"/>
      <c r="F27" s="845">
        <f>SUM(F19:F26)</f>
        <v>9840</v>
      </c>
      <c r="G27" s="829"/>
      <c r="H27" s="829"/>
    </row>
    <row r="28" spans="1:9" ht="15" thickBot="1" x14ac:dyDescent="0.25">
      <c r="D28" s="545"/>
      <c r="E28" s="829"/>
      <c r="F28" s="545"/>
      <c r="G28" s="829"/>
      <c r="H28" s="829"/>
    </row>
    <row r="29" spans="1:9" x14ac:dyDescent="0.2">
      <c r="A29" s="533">
        <v>11000</v>
      </c>
      <c r="B29" s="536" t="s">
        <v>116</v>
      </c>
      <c r="C29" s="538" t="s">
        <v>200</v>
      </c>
      <c r="D29" s="842">
        <v>441</v>
      </c>
      <c r="E29" s="829"/>
      <c r="F29" s="842">
        <v>2308</v>
      </c>
      <c r="G29" s="829"/>
      <c r="H29" s="829"/>
    </row>
    <row r="30" spans="1:9" x14ac:dyDescent="0.2">
      <c r="A30" s="522">
        <v>11000</v>
      </c>
      <c r="B30" s="473" t="s">
        <v>116</v>
      </c>
      <c r="C30" s="535" t="s">
        <v>201</v>
      </c>
      <c r="D30" s="843">
        <v>186</v>
      </c>
      <c r="E30" s="829"/>
      <c r="F30" s="843">
        <v>981</v>
      </c>
      <c r="G30" s="829"/>
      <c r="H30" s="829"/>
    </row>
    <row r="31" spans="1:9" x14ac:dyDescent="0.2">
      <c r="A31" s="522">
        <v>11000</v>
      </c>
      <c r="B31" s="473" t="s">
        <v>116</v>
      </c>
      <c r="C31" s="535" t="s">
        <v>202</v>
      </c>
      <c r="D31" s="843">
        <v>185</v>
      </c>
      <c r="E31" s="829"/>
      <c r="F31" s="843">
        <v>965</v>
      </c>
      <c r="G31" s="829"/>
      <c r="H31" s="829"/>
    </row>
    <row r="32" spans="1:9" x14ac:dyDescent="0.2">
      <c r="A32" s="522">
        <v>11000</v>
      </c>
      <c r="B32" s="473" t="s">
        <v>116</v>
      </c>
      <c r="C32" s="535" t="s">
        <v>203</v>
      </c>
      <c r="D32" s="843">
        <v>245</v>
      </c>
      <c r="E32" s="829"/>
      <c r="F32" s="843">
        <v>1249</v>
      </c>
      <c r="G32" s="829"/>
      <c r="H32" s="829"/>
    </row>
    <row r="33" spans="1:8" x14ac:dyDescent="0.2">
      <c r="A33" s="522">
        <v>11000</v>
      </c>
      <c r="B33" s="473" t="s">
        <v>116</v>
      </c>
      <c r="C33" s="535" t="s">
        <v>204</v>
      </c>
      <c r="D33" s="843">
        <v>188</v>
      </c>
      <c r="E33" s="829"/>
      <c r="F33" s="843">
        <v>922</v>
      </c>
      <c r="G33" s="829"/>
      <c r="H33" s="829"/>
    </row>
    <row r="34" spans="1:8" x14ac:dyDescent="0.2">
      <c r="A34" s="522">
        <v>14000</v>
      </c>
      <c r="B34" s="473" t="s">
        <v>119</v>
      </c>
      <c r="C34" s="535" t="s">
        <v>205</v>
      </c>
      <c r="D34" s="843">
        <v>404</v>
      </c>
      <c r="E34" s="829"/>
      <c r="F34" s="843">
        <v>2037</v>
      </c>
      <c r="G34" s="829"/>
      <c r="H34" s="829"/>
    </row>
    <row r="35" spans="1:8" ht="15" customHeight="1" x14ac:dyDescent="0.2">
      <c r="A35" s="522">
        <v>15000</v>
      </c>
      <c r="B35" s="473" t="s">
        <v>120</v>
      </c>
      <c r="C35" s="535" t="s">
        <v>205</v>
      </c>
      <c r="D35" s="843">
        <v>206</v>
      </c>
      <c r="E35" s="829"/>
      <c r="F35" s="843">
        <v>1101</v>
      </c>
      <c r="G35" s="829"/>
      <c r="H35" s="829"/>
    </row>
    <row r="36" spans="1:8" ht="15" thickBot="1" x14ac:dyDescent="0.25">
      <c r="A36" s="522">
        <v>17000</v>
      </c>
      <c r="B36" s="539" t="s">
        <v>122</v>
      </c>
      <c r="C36" s="540" t="s">
        <v>205</v>
      </c>
      <c r="D36" s="844">
        <v>112</v>
      </c>
      <c r="E36" s="829"/>
      <c r="F36" s="844">
        <v>541</v>
      </c>
      <c r="G36" s="829"/>
      <c r="H36" s="829"/>
    </row>
    <row r="37" spans="1:8" ht="15.75" thickBot="1" x14ac:dyDescent="0.3">
      <c r="A37" s="826">
        <v>2016</v>
      </c>
      <c r="B37" s="1001" t="s">
        <v>142</v>
      </c>
      <c r="C37" s="1002"/>
      <c r="D37" s="845">
        <f>SUM(D29:D36)</f>
        <v>1967</v>
      </c>
      <c r="E37" s="829"/>
      <c r="F37" s="845">
        <f>SUM(F29:F36)</f>
        <v>10104</v>
      </c>
      <c r="G37" s="829"/>
      <c r="H37" s="829"/>
    </row>
    <row r="38" spans="1:8" ht="15" thickBot="1" x14ac:dyDescent="0.25">
      <c r="D38" s="545"/>
      <c r="E38" s="829"/>
      <c r="F38" s="545"/>
      <c r="G38" s="829"/>
      <c r="H38" s="829"/>
    </row>
    <row r="39" spans="1:8" x14ac:dyDescent="0.2">
      <c r="A39" s="533">
        <v>11000</v>
      </c>
      <c r="B39" s="536" t="s">
        <v>116</v>
      </c>
      <c r="C39" s="538" t="s">
        <v>200</v>
      </c>
      <c r="D39" s="842">
        <v>416</v>
      </c>
      <c r="E39" s="829"/>
      <c r="F39" s="842">
        <v>2368</v>
      </c>
      <c r="G39" s="829"/>
      <c r="H39" s="829"/>
    </row>
    <row r="40" spans="1:8" x14ac:dyDescent="0.2">
      <c r="A40" s="522">
        <v>11000</v>
      </c>
      <c r="B40" s="473" t="s">
        <v>116</v>
      </c>
      <c r="C40" s="535" t="s">
        <v>201</v>
      </c>
      <c r="D40" s="843">
        <v>175</v>
      </c>
      <c r="E40" s="829"/>
      <c r="F40" s="843">
        <v>978</v>
      </c>
      <c r="G40" s="829"/>
      <c r="H40" s="829"/>
    </row>
    <row r="41" spans="1:8" x14ac:dyDescent="0.2">
      <c r="A41" s="522">
        <v>11000</v>
      </c>
      <c r="B41" s="473" t="s">
        <v>116</v>
      </c>
      <c r="C41" s="535" t="s">
        <v>202</v>
      </c>
      <c r="D41" s="843">
        <v>181</v>
      </c>
      <c r="E41" s="829"/>
      <c r="F41" s="843">
        <v>945</v>
      </c>
      <c r="G41" s="829"/>
      <c r="H41" s="829"/>
    </row>
    <row r="42" spans="1:8" x14ac:dyDescent="0.2">
      <c r="A42" s="522">
        <v>11000</v>
      </c>
      <c r="B42" s="473" t="s">
        <v>116</v>
      </c>
      <c r="C42" s="535" t="s">
        <v>203</v>
      </c>
      <c r="D42" s="843">
        <v>279</v>
      </c>
      <c r="E42" s="829"/>
      <c r="F42" s="843">
        <v>1250</v>
      </c>
      <c r="G42" s="829"/>
      <c r="H42" s="829"/>
    </row>
    <row r="43" spans="1:8" x14ac:dyDescent="0.2">
      <c r="A43" s="522">
        <v>11000</v>
      </c>
      <c r="B43" s="473" t="s">
        <v>116</v>
      </c>
      <c r="C43" s="535" t="s">
        <v>204</v>
      </c>
      <c r="D43" s="843">
        <v>170</v>
      </c>
      <c r="E43" s="829"/>
      <c r="F43" s="843">
        <v>913</v>
      </c>
      <c r="G43" s="829"/>
      <c r="H43" s="829"/>
    </row>
    <row r="44" spans="1:8" x14ac:dyDescent="0.2">
      <c r="A44" s="522">
        <v>14000</v>
      </c>
      <c r="B44" s="473" t="s">
        <v>119</v>
      </c>
      <c r="C44" s="535" t="s">
        <v>205</v>
      </c>
      <c r="D44" s="843">
        <v>386</v>
      </c>
      <c r="E44" s="829"/>
      <c r="F44" s="843">
        <v>2026</v>
      </c>
      <c r="G44" s="829"/>
      <c r="H44" s="829"/>
    </row>
    <row r="45" spans="1:8" ht="15" customHeight="1" x14ac:dyDescent="0.2">
      <c r="A45" s="522">
        <v>15000</v>
      </c>
      <c r="B45" s="473" t="s">
        <v>120</v>
      </c>
      <c r="C45" s="535" t="s">
        <v>205</v>
      </c>
      <c r="D45" s="843">
        <v>237</v>
      </c>
      <c r="E45" s="829"/>
      <c r="F45" s="843">
        <v>1097</v>
      </c>
      <c r="G45" s="829"/>
      <c r="H45" s="829"/>
    </row>
    <row r="46" spans="1:8" ht="15" thickBot="1" x14ac:dyDescent="0.25">
      <c r="A46" s="522">
        <v>17000</v>
      </c>
      <c r="B46" s="537" t="s">
        <v>122</v>
      </c>
      <c r="C46" s="535" t="s">
        <v>205</v>
      </c>
      <c r="D46" s="844">
        <v>109</v>
      </c>
      <c r="E46" s="829"/>
      <c r="F46" s="844">
        <v>518</v>
      </c>
      <c r="G46" s="829"/>
      <c r="H46" s="829"/>
    </row>
    <row r="47" spans="1:8" ht="15.75" thickBot="1" x14ac:dyDescent="0.3">
      <c r="A47" s="826">
        <v>2015</v>
      </c>
      <c r="B47" s="1001" t="s">
        <v>142</v>
      </c>
      <c r="C47" s="1002"/>
      <c r="D47" s="845">
        <f>SUM(D39:D46)</f>
        <v>1953</v>
      </c>
      <c r="E47" s="829"/>
      <c r="F47" s="845">
        <f>SUM(F39:F46)</f>
        <v>10095</v>
      </c>
      <c r="G47" s="829"/>
      <c r="H47" s="829"/>
    </row>
    <row r="49" spans="1:1" x14ac:dyDescent="0.2">
      <c r="A49" s="830" t="s">
        <v>2</v>
      </c>
    </row>
  </sheetData>
  <mergeCells count="13">
    <mergeCell ref="H5:H7"/>
    <mergeCell ref="I5:I7"/>
    <mergeCell ref="F5:F7"/>
    <mergeCell ref="C5:C8"/>
    <mergeCell ref="B5:B8"/>
    <mergeCell ref="A5:A8"/>
    <mergeCell ref="G5:G7"/>
    <mergeCell ref="B27:C27"/>
    <mergeCell ref="B37:C37"/>
    <mergeCell ref="B47:C47"/>
    <mergeCell ref="D5:D7"/>
    <mergeCell ref="E5:E7"/>
    <mergeCell ref="A17:C17"/>
  </mergeCells>
  <hyperlinks>
    <hyperlink ref="A49" location="'0 Seznam'!A1" display="Seznam"/>
  </hyperlinks>
  <pageMargins left="0.7" right="0.7" top="0.78740157499999996" bottom="0.78740157499999996" header="0.3" footer="0.3"/>
  <pageSetup paperSize="9" orientation="landscape" r:id="rId1"/>
  <headerFooter>
    <oddHeader xml:space="preserve">&amp;LČ. j.: MSMT-2019/2019-1
</oddHeader>
  </headerFooter>
  <ignoredErrors>
    <ignoredError sqref="E9:E16 I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18</vt:i4>
      </vt:variant>
    </vt:vector>
  </HeadingPairs>
  <TitlesOfParts>
    <vt:vector size="18" baseType="lpstr">
      <vt:lpstr>0 Seznam</vt:lpstr>
      <vt:lpstr>1 Bilance</vt:lpstr>
      <vt:lpstr>2 Stanovení podílů fixní části</vt:lpstr>
      <vt:lpstr>3 Stanovení podílů segmentů</vt:lpstr>
      <vt:lpstr>3a Výkonová část segment 1</vt:lpstr>
      <vt:lpstr>3b Výkonová část segment 2</vt:lpstr>
      <vt:lpstr>3c Výkonová část segment 3</vt:lpstr>
      <vt:lpstr>3d Výkonová část segment 4</vt:lpstr>
      <vt:lpstr>4a Společenské priority - LF</vt:lpstr>
      <vt:lpstr>4b Společenské priority - PedF</vt:lpstr>
      <vt:lpstr>5 RO I</vt:lpstr>
      <vt:lpstr>6 Ukazatel C</vt:lpstr>
      <vt:lpstr>7 Ukazatel J</vt:lpstr>
      <vt:lpstr>8 Ukazatel U</vt:lpstr>
      <vt:lpstr>9 Ukazatel I</vt:lpstr>
      <vt:lpstr>10 Ukazatel D</vt:lpstr>
      <vt:lpstr>11a Ukazatel F - U3V</vt:lpstr>
      <vt:lpstr>11b Ukazatel F - SSP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 Jiří</dc:creator>
  <cp:lastModifiedBy>Ludvík Jiří</cp:lastModifiedBy>
  <cp:lastPrinted>2019-01-24T07:46:29Z</cp:lastPrinted>
  <dcterms:created xsi:type="dcterms:W3CDTF">2018-12-11T07:31:06Z</dcterms:created>
  <dcterms:modified xsi:type="dcterms:W3CDTF">2019-01-31T13:22:32Z</dcterms:modified>
</cp:coreProperties>
</file>