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Sekce_III\320_oddělení\Rozpočet VŠ\2020\materiál na web\"/>
    </mc:Choice>
  </mc:AlternateContent>
  <bookViews>
    <workbookView xWindow="0" yWindow="0" windowWidth="25200" windowHeight="11370" tabRatio="897"/>
  </bookViews>
  <sheets>
    <sheet name="0 Seznam" sheetId="32" r:id="rId1"/>
    <sheet name="1 Bilance" sheetId="31" r:id="rId2"/>
    <sheet name="2a Výkonová část segment 1" sheetId="15" r:id="rId3"/>
    <sheet name="2b Výkonová část segment 2" sheetId="16" r:id="rId4"/>
    <sheet name="2c Výkonová část segment 3" sheetId="17" r:id="rId5"/>
    <sheet name="2d Výkonová část segment 4" sheetId="18" r:id="rId6"/>
    <sheet name="3a Ukazatel P - Pedagog. fak." sheetId="20" r:id="rId7"/>
    <sheet name="3b Ukazatel P - pedagogické SP" sheetId="24" r:id="rId8"/>
    <sheet name="4 RO I" sheetId="10" r:id="rId9"/>
    <sheet name="5 Ukazatel C" sheetId="12" r:id="rId10"/>
    <sheet name="6 Ukazatel J" sheetId="19" r:id="rId11"/>
    <sheet name="7 Ukazatel U" sheetId="13" r:id="rId12"/>
    <sheet name="8 Ukazatel I" sheetId="26" r:id="rId13"/>
    <sheet name="9 Ukazatel D" sheetId="23" r:id="rId14"/>
    <sheet name="10 Fond umělecké činnosti" sheetId="27" r:id="rId15"/>
    <sheet name="11a Ukazatel F - U3V" sheetId="21" r:id="rId16"/>
    <sheet name="11b Ukazatel F - SSP" sheetId="22"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2" i="10" l="1"/>
  <c r="H41" i="10"/>
  <c r="H40" i="10"/>
  <c r="H39" i="10"/>
  <c r="H38" i="10"/>
  <c r="H37" i="10"/>
  <c r="H36" i="10"/>
  <c r="H35" i="10"/>
  <c r="H34" i="10"/>
  <c r="H33" i="10"/>
  <c r="H32" i="10"/>
  <c r="H31" i="10"/>
  <c r="H30" i="10"/>
  <c r="H29" i="10"/>
  <c r="H28" i="10"/>
  <c r="H27" i="10"/>
  <c r="H26" i="10"/>
  <c r="H25" i="10"/>
  <c r="H24" i="10"/>
  <c r="H23" i="10"/>
  <c r="H22" i="10"/>
  <c r="H21" i="10"/>
  <c r="H20" i="10"/>
  <c r="H18" i="10"/>
  <c r="H19" i="10"/>
  <c r="H17" i="10"/>
  <c r="D37" i="22" l="1"/>
  <c r="E35" i="22" s="1"/>
  <c r="C37" i="22"/>
  <c r="E26" i="22"/>
  <c r="E18" i="22"/>
  <c r="D37" i="21"/>
  <c r="E33" i="21" s="1"/>
  <c r="C37" i="21"/>
  <c r="E36" i="21"/>
  <c r="E34" i="21"/>
  <c r="E31" i="21"/>
  <c r="E28" i="21"/>
  <c r="E26" i="21"/>
  <c r="E23" i="21"/>
  <c r="E20" i="21"/>
  <c r="E18" i="21"/>
  <c r="E15" i="21"/>
  <c r="E12" i="21"/>
  <c r="E6" i="21"/>
  <c r="I23" i="27"/>
  <c r="H23" i="27"/>
  <c r="G23" i="27"/>
  <c r="F23" i="27"/>
  <c r="E23" i="27"/>
  <c r="J22" i="27"/>
  <c r="J21" i="27"/>
  <c r="J20" i="27"/>
  <c r="J19" i="27"/>
  <c r="J18" i="27"/>
  <c r="J17" i="27"/>
  <c r="J16" i="27"/>
  <c r="J15" i="27"/>
  <c r="J14" i="27"/>
  <c r="J13" i="27"/>
  <c r="J12" i="27"/>
  <c r="J11" i="27"/>
  <c r="J10" i="27"/>
  <c r="J9" i="27"/>
  <c r="J8" i="27"/>
  <c r="J7" i="27"/>
  <c r="G120" i="23"/>
  <c r="H107" i="23" s="1"/>
  <c r="E120" i="23"/>
  <c r="F115" i="23" s="1"/>
  <c r="F112" i="23"/>
  <c r="F110" i="23"/>
  <c r="F103" i="23"/>
  <c r="F101" i="23"/>
  <c r="F99" i="23"/>
  <c r="F97" i="23"/>
  <c r="F95" i="23"/>
  <c r="G91" i="23"/>
  <c r="H84" i="23" s="1"/>
  <c r="E91" i="23"/>
  <c r="F85" i="23" s="1"/>
  <c r="F83" i="23"/>
  <c r="F67" i="23"/>
  <c r="G62" i="23"/>
  <c r="H48" i="23" s="1"/>
  <c r="E62" i="23"/>
  <c r="F61" i="23" s="1"/>
  <c r="C62" i="23"/>
  <c r="D59" i="23" s="1"/>
  <c r="D30" i="23" s="1"/>
  <c r="D57" i="23"/>
  <c r="D28" i="23" s="1"/>
  <c r="H53" i="23"/>
  <c r="D52" i="23"/>
  <c r="D23" i="23" s="1"/>
  <c r="D50" i="23"/>
  <c r="H45" i="23"/>
  <c r="D45" i="23"/>
  <c r="D16" i="23" s="1"/>
  <c r="D43" i="23"/>
  <c r="D14" i="23" s="1"/>
  <c r="D41" i="23"/>
  <c r="D12" i="23" s="1"/>
  <c r="F38" i="23"/>
  <c r="H37" i="23"/>
  <c r="D36" i="23"/>
  <c r="D7" i="23" s="1"/>
  <c r="D21" i="23"/>
  <c r="I6" i="23"/>
  <c r="C33" i="26"/>
  <c r="C43" i="13"/>
  <c r="D7" i="13" s="1"/>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G37" i="19"/>
  <c r="D33" i="19"/>
  <c r="C33" i="19"/>
  <c r="E32" i="19"/>
  <c r="F32" i="19" s="1"/>
  <c r="G32" i="19" s="1"/>
  <c r="E31" i="19"/>
  <c r="F31" i="19" s="1"/>
  <c r="G31" i="19" s="1"/>
  <c r="E30" i="19"/>
  <c r="F30" i="19" s="1"/>
  <c r="G30" i="19" s="1"/>
  <c r="E29" i="19"/>
  <c r="F29" i="19" s="1"/>
  <c r="G29" i="19" s="1"/>
  <c r="E28" i="19"/>
  <c r="F28" i="19" s="1"/>
  <c r="G28" i="19" s="1"/>
  <c r="E27" i="19"/>
  <c r="F27" i="19" s="1"/>
  <c r="G27" i="19" s="1"/>
  <c r="E26" i="19"/>
  <c r="F26" i="19" s="1"/>
  <c r="G26" i="19" s="1"/>
  <c r="E25" i="19"/>
  <c r="F25" i="19" s="1"/>
  <c r="G25" i="19" s="1"/>
  <c r="E24" i="19"/>
  <c r="F24" i="19" s="1"/>
  <c r="G24" i="19" s="1"/>
  <c r="E23" i="19"/>
  <c r="F23" i="19" s="1"/>
  <c r="G23" i="19" s="1"/>
  <c r="E22" i="19"/>
  <c r="F22" i="19" s="1"/>
  <c r="G22" i="19" s="1"/>
  <c r="E21" i="19"/>
  <c r="F21" i="19" s="1"/>
  <c r="G21" i="19" s="1"/>
  <c r="E20" i="19"/>
  <c r="F20" i="19" s="1"/>
  <c r="G20" i="19" s="1"/>
  <c r="E19" i="19"/>
  <c r="F19" i="19" s="1"/>
  <c r="G19" i="19" s="1"/>
  <c r="E18" i="19"/>
  <c r="F18" i="19" s="1"/>
  <c r="G18" i="19" s="1"/>
  <c r="E17" i="19"/>
  <c r="F17" i="19" s="1"/>
  <c r="G17" i="19" s="1"/>
  <c r="E16" i="19"/>
  <c r="F16" i="19" s="1"/>
  <c r="G16" i="19" s="1"/>
  <c r="E15" i="19"/>
  <c r="F15" i="19" s="1"/>
  <c r="G15" i="19" s="1"/>
  <c r="E14" i="19"/>
  <c r="F14" i="19" s="1"/>
  <c r="G14" i="19" s="1"/>
  <c r="E13" i="19"/>
  <c r="F13" i="19" s="1"/>
  <c r="G13" i="19" s="1"/>
  <c r="F12" i="19"/>
  <c r="G12" i="19" s="1"/>
  <c r="E12" i="19"/>
  <c r="E11" i="19"/>
  <c r="F11" i="19" s="1"/>
  <c r="G11" i="19" s="1"/>
  <c r="E10" i="19"/>
  <c r="F10" i="19" s="1"/>
  <c r="G10" i="19" s="1"/>
  <c r="E9" i="19"/>
  <c r="F9" i="19" s="1"/>
  <c r="G9" i="19" s="1"/>
  <c r="E8" i="19"/>
  <c r="F8" i="19" s="1"/>
  <c r="G8" i="19" s="1"/>
  <c r="E7" i="19"/>
  <c r="C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D10" i="12"/>
  <c r="L43" i="10"/>
  <c r="I43" i="10"/>
  <c r="E43" i="10"/>
  <c r="C43" i="10"/>
  <c r="M40" i="10"/>
  <c r="M39" i="10"/>
  <c r="M38" i="10"/>
  <c r="M37" i="10"/>
  <c r="C7" i="10"/>
  <c r="C6" i="10"/>
  <c r="C5" i="10"/>
  <c r="D23" i="10" s="1"/>
  <c r="F23" i="10" s="1"/>
  <c r="F89" i="24"/>
  <c r="G88" i="24" s="1"/>
  <c r="D89" i="24"/>
  <c r="E87" i="24" s="1"/>
  <c r="G77" i="24"/>
  <c r="F68" i="24"/>
  <c r="G67" i="24" s="1"/>
  <c r="D68" i="24"/>
  <c r="E67" i="24" s="1"/>
  <c r="G66" i="24"/>
  <c r="G62" i="24"/>
  <c r="E59" i="24"/>
  <c r="G56" i="24"/>
  <c r="E54" i="24"/>
  <c r="E52" i="24"/>
  <c r="F47" i="24"/>
  <c r="D47" i="24"/>
  <c r="E46" i="24" s="1"/>
  <c r="G39" i="24"/>
  <c r="F26" i="24"/>
  <c r="D26" i="24"/>
  <c r="M59" i="20"/>
  <c r="N56" i="20" s="1"/>
  <c r="K59" i="20"/>
  <c r="L58" i="20" s="1"/>
  <c r="L56" i="20"/>
  <c r="L54" i="20"/>
  <c r="L53" i="20"/>
  <c r="L52" i="20"/>
  <c r="L51" i="20"/>
  <c r="M45" i="20"/>
  <c r="K45" i="20"/>
  <c r="L41" i="20" s="1"/>
  <c r="M31" i="20"/>
  <c r="N29" i="20" s="1"/>
  <c r="K31" i="20"/>
  <c r="L30" i="20" s="1"/>
  <c r="M17" i="20"/>
  <c r="K17" i="20"/>
  <c r="H17" i="20"/>
  <c r="E17" i="20"/>
  <c r="I16" i="20"/>
  <c r="F16" i="20"/>
  <c r="I15" i="20"/>
  <c r="F15" i="20"/>
  <c r="I14" i="20"/>
  <c r="F14" i="20"/>
  <c r="I13" i="20"/>
  <c r="F13" i="20"/>
  <c r="I12" i="20"/>
  <c r="F12" i="20"/>
  <c r="I11" i="20"/>
  <c r="F11" i="20"/>
  <c r="I10" i="20"/>
  <c r="F10" i="20"/>
  <c r="I9" i="20"/>
  <c r="F9" i="20"/>
  <c r="I8" i="20"/>
  <c r="F8" i="20"/>
  <c r="O5" i="20"/>
  <c r="Q39" i="18"/>
  <c r="R37" i="18" s="1"/>
  <c r="S32" i="18"/>
  <c r="T31" i="18" s="1"/>
  <c r="Q32" i="18"/>
  <c r="R31" i="18" s="1"/>
  <c r="F32" i="18"/>
  <c r="E32" i="18"/>
  <c r="G31" i="18"/>
  <c r="G30" i="18"/>
  <c r="G29" i="18"/>
  <c r="G28" i="18"/>
  <c r="G27" i="18"/>
  <c r="S25" i="18"/>
  <c r="T24" i="18" s="1"/>
  <c r="Q25" i="18"/>
  <c r="R24" i="18" s="1"/>
  <c r="F25" i="18"/>
  <c r="E25" i="18"/>
  <c r="G24" i="18"/>
  <c r="G23" i="18"/>
  <c r="G22" i="18"/>
  <c r="G21" i="18"/>
  <c r="G20" i="18"/>
  <c r="P18" i="18"/>
  <c r="O18" i="18"/>
  <c r="M18" i="18"/>
  <c r="N14" i="18" s="1"/>
  <c r="N7" i="18" s="1"/>
  <c r="L18" i="18"/>
  <c r="K18" i="18"/>
  <c r="I18" i="18"/>
  <c r="J15" i="18" s="1"/>
  <c r="J8" i="18" s="1"/>
  <c r="F18" i="18"/>
  <c r="E18" i="18"/>
  <c r="C18" i="18"/>
  <c r="D17" i="18" s="1"/>
  <c r="D10" i="18" s="1"/>
  <c r="J17" i="18"/>
  <c r="J10" i="18" s="1"/>
  <c r="G17" i="18"/>
  <c r="G16" i="18"/>
  <c r="D16" i="18"/>
  <c r="G15" i="18"/>
  <c r="G14" i="18"/>
  <c r="D14" i="18"/>
  <c r="J13" i="18"/>
  <c r="G13" i="18"/>
  <c r="P10" i="18"/>
  <c r="L10" i="18"/>
  <c r="P9" i="18"/>
  <c r="L9" i="18"/>
  <c r="D9" i="18"/>
  <c r="P8" i="18"/>
  <c r="L8" i="18"/>
  <c r="P7" i="18"/>
  <c r="L7" i="18"/>
  <c r="D7" i="18"/>
  <c r="P6" i="18"/>
  <c r="L6" i="18"/>
  <c r="J6" i="18"/>
  <c r="U3" i="18"/>
  <c r="Q89" i="17"/>
  <c r="R87" i="17" s="1"/>
  <c r="R76" i="17"/>
  <c r="S72" i="17"/>
  <c r="Q72" i="17"/>
  <c r="R71" i="17" s="1"/>
  <c r="F72" i="17"/>
  <c r="E72" i="17"/>
  <c r="T71" i="17"/>
  <c r="G71" i="17"/>
  <c r="G70" i="17"/>
  <c r="T69" i="17"/>
  <c r="T18" i="17" s="1"/>
  <c r="G69" i="17"/>
  <c r="G68" i="17"/>
  <c r="T67" i="17"/>
  <c r="G67" i="17"/>
  <c r="G66" i="17"/>
  <c r="T65" i="17"/>
  <c r="G65" i="17"/>
  <c r="G64" i="17"/>
  <c r="T63" i="17"/>
  <c r="G63" i="17"/>
  <c r="T62" i="17"/>
  <c r="G62" i="17"/>
  <c r="T61" i="17"/>
  <c r="G61" i="17"/>
  <c r="T60" i="17"/>
  <c r="G60" i="17"/>
  <c r="T59" i="17"/>
  <c r="G59" i="17"/>
  <c r="T58" i="17"/>
  <c r="G58" i="17"/>
  <c r="T57" i="17"/>
  <c r="G57" i="17"/>
  <c r="S55" i="17"/>
  <c r="T53" i="17" s="1"/>
  <c r="Q55" i="17"/>
  <c r="F55" i="17"/>
  <c r="E55" i="17"/>
  <c r="T54" i="17"/>
  <c r="T20" i="17" s="1"/>
  <c r="G54" i="17"/>
  <c r="G53" i="17"/>
  <c r="T52" i="17"/>
  <c r="G52" i="17"/>
  <c r="G51" i="17"/>
  <c r="T50" i="17"/>
  <c r="T16" i="17" s="1"/>
  <c r="G50" i="17"/>
  <c r="G49" i="17"/>
  <c r="T48" i="17"/>
  <c r="T14" i="17" s="1"/>
  <c r="G48" i="17"/>
  <c r="G47" i="17"/>
  <c r="T46" i="17"/>
  <c r="T12" i="17" s="1"/>
  <c r="G46" i="17"/>
  <c r="G45" i="17"/>
  <c r="T44" i="17"/>
  <c r="T10" i="17" s="1"/>
  <c r="G44" i="17"/>
  <c r="G43" i="17"/>
  <c r="T42" i="17"/>
  <c r="T8" i="17" s="1"/>
  <c r="G42" i="17"/>
  <c r="G41" i="17"/>
  <c r="T40" i="17"/>
  <c r="T6" i="17" s="1"/>
  <c r="G40" i="17"/>
  <c r="P38" i="17"/>
  <c r="O38" i="17"/>
  <c r="M38" i="17"/>
  <c r="N31" i="17" s="1"/>
  <c r="N14" i="17" s="1"/>
  <c r="L38" i="17"/>
  <c r="I38" i="17"/>
  <c r="J33" i="17" s="1"/>
  <c r="J16" i="17" s="1"/>
  <c r="F38" i="17"/>
  <c r="E38" i="17"/>
  <c r="C38" i="17"/>
  <c r="D35" i="17" s="1"/>
  <c r="D18" i="17" s="1"/>
  <c r="J37" i="17"/>
  <c r="J20" i="17" s="1"/>
  <c r="G37" i="17"/>
  <c r="J36" i="17"/>
  <c r="J19" i="17" s="1"/>
  <c r="G36" i="17"/>
  <c r="J35" i="17"/>
  <c r="J18" i="17" s="1"/>
  <c r="G35" i="17"/>
  <c r="J34" i="17"/>
  <c r="G34" i="17"/>
  <c r="D34" i="17"/>
  <c r="D17" i="17" s="1"/>
  <c r="G33" i="17"/>
  <c r="G32" i="17"/>
  <c r="G31" i="17"/>
  <c r="G30" i="17"/>
  <c r="D30" i="17"/>
  <c r="J29" i="17"/>
  <c r="G29" i="17"/>
  <c r="J28" i="17"/>
  <c r="J11" i="17" s="1"/>
  <c r="G28" i="17"/>
  <c r="J27" i="17"/>
  <c r="J10" i="17" s="1"/>
  <c r="G27" i="17"/>
  <c r="J26" i="17"/>
  <c r="G26" i="17"/>
  <c r="D26" i="17"/>
  <c r="D9" i="17" s="1"/>
  <c r="G25" i="17"/>
  <c r="G24" i="17"/>
  <c r="G23" i="17"/>
  <c r="P20" i="17"/>
  <c r="L20" i="17"/>
  <c r="P19" i="17"/>
  <c r="L19" i="17"/>
  <c r="P18" i="17"/>
  <c r="L18" i="17"/>
  <c r="P17" i="17"/>
  <c r="L17" i="17"/>
  <c r="J17" i="17"/>
  <c r="P16" i="17"/>
  <c r="L16" i="17"/>
  <c r="P15" i="17"/>
  <c r="L15" i="17"/>
  <c r="P14" i="17"/>
  <c r="L14" i="17"/>
  <c r="P13" i="17"/>
  <c r="L13" i="17"/>
  <c r="D13" i="17"/>
  <c r="P12" i="17"/>
  <c r="L12" i="17"/>
  <c r="J12" i="17"/>
  <c r="P11" i="17"/>
  <c r="L11" i="17"/>
  <c r="P10" i="17"/>
  <c r="L10" i="17"/>
  <c r="P9" i="17"/>
  <c r="L9" i="17"/>
  <c r="J9" i="17"/>
  <c r="P8" i="17"/>
  <c r="L8" i="17"/>
  <c r="P7" i="17"/>
  <c r="L7" i="17"/>
  <c r="P6" i="17"/>
  <c r="L6" i="17"/>
  <c r="U3" i="17"/>
  <c r="E20" i="16"/>
  <c r="F18" i="16" s="1"/>
  <c r="F19" i="16"/>
  <c r="E16" i="16"/>
  <c r="F15" i="16" s="1"/>
  <c r="G12" i="16"/>
  <c r="H10" i="16" s="1"/>
  <c r="H6" i="16" s="1"/>
  <c r="E12" i="16"/>
  <c r="F11" i="16" s="1"/>
  <c r="C12" i="16"/>
  <c r="D11" i="16" s="1"/>
  <c r="I3" i="16"/>
  <c r="O34" i="15"/>
  <c r="P32" i="15" s="1"/>
  <c r="O28" i="15"/>
  <c r="P26" i="15" s="1"/>
  <c r="D28" i="15"/>
  <c r="C28" i="15"/>
  <c r="E27" i="15"/>
  <c r="E26" i="15"/>
  <c r="E25" i="15"/>
  <c r="E24" i="15"/>
  <c r="O22" i="15"/>
  <c r="P21" i="15" s="1"/>
  <c r="D22" i="15"/>
  <c r="C22" i="15"/>
  <c r="E21" i="15"/>
  <c r="P20" i="15"/>
  <c r="E20" i="15"/>
  <c r="E19" i="15"/>
  <c r="E18" i="15"/>
  <c r="N16" i="15"/>
  <c r="M16" i="15"/>
  <c r="K16" i="15"/>
  <c r="J16" i="15"/>
  <c r="G16" i="15"/>
  <c r="H15" i="15" s="1"/>
  <c r="H9" i="15" s="1"/>
  <c r="D16" i="15"/>
  <c r="C16" i="15"/>
  <c r="L15" i="15"/>
  <c r="L9" i="15" s="1"/>
  <c r="E15" i="15"/>
  <c r="L14" i="15"/>
  <c r="L8" i="15" s="1"/>
  <c r="E14" i="15"/>
  <c r="L13" i="15"/>
  <c r="L7" i="15" s="1"/>
  <c r="E13" i="15"/>
  <c r="L12" i="15"/>
  <c r="L6" i="15" s="1"/>
  <c r="E12" i="15"/>
  <c r="N9" i="15"/>
  <c r="J9" i="15"/>
  <c r="N8" i="15"/>
  <c r="J8" i="15"/>
  <c r="N7" i="15"/>
  <c r="J7" i="15"/>
  <c r="N6" i="15"/>
  <c r="J6" i="15"/>
  <c r="Q3" i="15"/>
  <c r="O67" i="31"/>
  <c r="O66" i="31"/>
  <c r="O62" i="31"/>
  <c r="J56" i="31"/>
  <c r="Q50" i="31"/>
  <c r="N50" i="31"/>
  <c r="K50" i="31"/>
  <c r="J50" i="31"/>
  <c r="Q49" i="31"/>
  <c r="N49" i="31"/>
  <c r="K49" i="31"/>
  <c r="J49" i="31"/>
  <c r="Q48" i="31"/>
  <c r="N48" i="31"/>
  <c r="K48" i="31"/>
  <c r="J48" i="31"/>
  <c r="Q47" i="31"/>
  <c r="N47" i="31"/>
  <c r="K47" i="31"/>
  <c r="J47" i="31"/>
  <c r="Q44" i="31"/>
  <c r="N44" i="31"/>
  <c r="K44" i="31"/>
  <c r="J44" i="31"/>
  <c r="Q43" i="31"/>
  <c r="N43" i="31"/>
  <c r="K43" i="31"/>
  <c r="J43" i="31"/>
  <c r="O41" i="31"/>
  <c r="L41" i="31"/>
  <c r="I41" i="31"/>
  <c r="H41" i="31"/>
  <c r="Q40" i="31"/>
  <c r="N40" i="31"/>
  <c r="K40" i="31"/>
  <c r="J40" i="31"/>
  <c r="Q39" i="31"/>
  <c r="N39" i="31"/>
  <c r="K39" i="31"/>
  <c r="J39" i="31"/>
  <c r="O38" i="31"/>
  <c r="O55" i="31" s="1"/>
  <c r="L38" i="31"/>
  <c r="I38" i="31"/>
  <c r="H38" i="31"/>
  <c r="H55" i="31" s="1"/>
  <c r="Q33" i="31"/>
  <c r="N33" i="31"/>
  <c r="K33" i="31"/>
  <c r="J33" i="31"/>
  <c r="Q32" i="31"/>
  <c r="N32" i="31"/>
  <c r="K32" i="31"/>
  <c r="J32" i="31"/>
  <c r="O31" i="31"/>
  <c r="O35" i="31" s="1"/>
  <c r="L31" i="31"/>
  <c r="L35" i="31" s="1"/>
  <c r="I31" i="31"/>
  <c r="I35" i="31" s="1"/>
  <c r="H31" i="31"/>
  <c r="H35" i="31" s="1"/>
  <c r="L28" i="31"/>
  <c r="N28" i="31" s="1"/>
  <c r="I28" i="31"/>
  <c r="J28" i="31" s="1"/>
  <c r="H28" i="31"/>
  <c r="K28" i="31" s="1"/>
  <c r="Q27" i="31"/>
  <c r="N27" i="31"/>
  <c r="K27" i="31"/>
  <c r="J27" i="31"/>
  <c r="O26" i="31"/>
  <c r="Q26" i="31" s="1"/>
  <c r="N26" i="31"/>
  <c r="K26" i="31"/>
  <c r="J26" i="31"/>
  <c r="Q25" i="31"/>
  <c r="N25" i="31"/>
  <c r="K25" i="31"/>
  <c r="J25" i="31"/>
  <c r="O24" i="31"/>
  <c r="N24" i="31"/>
  <c r="K24" i="31"/>
  <c r="J24" i="31"/>
  <c r="Q23" i="31"/>
  <c r="N23" i="31"/>
  <c r="K23" i="31"/>
  <c r="J23" i="31"/>
  <c r="O22" i="31"/>
  <c r="Q22" i="31" s="1"/>
  <c r="N22" i="31"/>
  <c r="K22" i="31"/>
  <c r="J22" i="31"/>
  <c r="O19" i="31"/>
  <c r="C4" i="10" s="1"/>
  <c r="L19" i="31"/>
  <c r="I19" i="31"/>
  <c r="J19" i="31" s="1"/>
  <c r="H19" i="31"/>
  <c r="Q18" i="31"/>
  <c r="Q17" i="31"/>
  <c r="N17" i="31"/>
  <c r="K17" i="31"/>
  <c r="J17" i="31"/>
  <c r="Q16" i="31"/>
  <c r="N16" i="31"/>
  <c r="K16" i="31"/>
  <c r="J16" i="31"/>
  <c r="P8" i="31"/>
  <c r="P7" i="31"/>
  <c r="P6" i="31"/>
  <c r="P5" i="31"/>
  <c r="D7" i="16" l="1"/>
  <c r="N24" i="20"/>
  <c r="N50" i="20"/>
  <c r="E81" i="24"/>
  <c r="F41" i="23"/>
  <c r="F50" i="23"/>
  <c r="K19" i="31"/>
  <c r="N41" i="31"/>
  <c r="R34" i="18"/>
  <c r="N25" i="20"/>
  <c r="L37" i="20"/>
  <c r="E35" i="24"/>
  <c r="E40" i="24"/>
  <c r="G54" i="24"/>
  <c r="G60" i="24"/>
  <c r="G18" i="24" s="1"/>
  <c r="E84" i="24"/>
  <c r="D21" i="10"/>
  <c r="F21" i="10" s="1"/>
  <c r="F36" i="23"/>
  <c r="F39" i="23"/>
  <c r="F42" i="23"/>
  <c r="F47" i="23"/>
  <c r="F55" i="23"/>
  <c r="F59" i="23"/>
  <c r="H97" i="23"/>
  <c r="F105" i="23"/>
  <c r="F113" i="23"/>
  <c r="E30" i="22"/>
  <c r="D10" i="16"/>
  <c r="D6" i="16" s="1"/>
  <c r="R38" i="18"/>
  <c r="N26" i="20"/>
  <c r="N58" i="20"/>
  <c r="E37" i="24"/>
  <c r="E42" i="24"/>
  <c r="E78" i="24"/>
  <c r="E86" i="24"/>
  <c r="D35" i="10"/>
  <c r="F35" i="10" s="1"/>
  <c r="F37" i="23"/>
  <c r="F40" i="23"/>
  <c r="F45" i="23"/>
  <c r="F48" i="23"/>
  <c r="F52" i="23"/>
  <c r="F56" i="23"/>
  <c r="F60" i="23"/>
  <c r="H105" i="23"/>
  <c r="F118" i="23"/>
  <c r="E33" i="24"/>
  <c r="E76" i="24"/>
  <c r="F44" i="23"/>
  <c r="F46" i="23"/>
  <c r="F54" i="23"/>
  <c r="F57" i="23"/>
  <c r="N16" i="18"/>
  <c r="N9" i="18" s="1"/>
  <c r="G25" i="18"/>
  <c r="N22" i="20"/>
  <c r="E31" i="24"/>
  <c r="E10" i="24" s="1"/>
  <c r="E39" i="24"/>
  <c r="E44" i="24"/>
  <c r="G52" i="24"/>
  <c r="G58" i="24"/>
  <c r="G64" i="24"/>
  <c r="G22" i="24" s="1"/>
  <c r="E73" i="24"/>
  <c r="E79" i="24"/>
  <c r="F43" i="23"/>
  <c r="F14" i="23" s="1"/>
  <c r="F75" i="23"/>
  <c r="G75" i="24"/>
  <c r="G83" i="24"/>
  <c r="G87" i="24"/>
  <c r="G24" i="24" s="1"/>
  <c r="D37" i="23"/>
  <c r="D42" i="23"/>
  <c r="D13" i="23" s="1"/>
  <c r="D44" i="23"/>
  <c r="D15" i="23" s="1"/>
  <c r="D49" i="23"/>
  <c r="D20" i="23" s="1"/>
  <c r="D51" i="23"/>
  <c r="D22" i="23" s="1"/>
  <c r="D53" i="23"/>
  <c r="D24" i="23" s="1"/>
  <c r="D58" i="23"/>
  <c r="D29" i="23" s="1"/>
  <c r="D61" i="23"/>
  <c r="D32" i="23" s="1"/>
  <c r="F71" i="23"/>
  <c r="F79" i="23"/>
  <c r="F87" i="23"/>
  <c r="P18" i="15"/>
  <c r="J23" i="17"/>
  <c r="J6" i="17" s="1"/>
  <c r="J25" i="17"/>
  <c r="J8" i="17" s="1"/>
  <c r="J30" i="17"/>
  <c r="J13" i="17" s="1"/>
  <c r="J32" i="17"/>
  <c r="J15" i="17" s="1"/>
  <c r="R36" i="18"/>
  <c r="L57" i="20"/>
  <c r="E32" i="24"/>
  <c r="E36" i="24"/>
  <c r="E43" i="24"/>
  <c r="E60" i="24"/>
  <c r="G79" i="24"/>
  <c r="D39" i="23"/>
  <c r="D10" i="23" s="1"/>
  <c r="H40" i="23"/>
  <c r="D46" i="23"/>
  <c r="D17" i="23" s="1"/>
  <c r="D48" i="23"/>
  <c r="D19" i="23" s="1"/>
  <c r="F49" i="23"/>
  <c r="F51" i="23"/>
  <c r="F53" i="23"/>
  <c r="D55" i="23"/>
  <c r="D26" i="23" s="1"/>
  <c r="H56" i="23"/>
  <c r="F58" i="23"/>
  <c r="F65" i="23"/>
  <c r="F73" i="23"/>
  <c r="F81" i="23"/>
  <c r="F23" i="23" s="1"/>
  <c r="F89" i="23"/>
  <c r="F31" i="23" s="1"/>
  <c r="H101" i="23"/>
  <c r="F107" i="23"/>
  <c r="E14" i="21"/>
  <c r="E19" i="21"/>
  <c r="E24" i="21"/>
  <c r="E30" i="21"/>
  <c r="E35" i="21"/>
  <c r="E14" i="22"/>
  <c r="E34" i="22"/>
  <c r="L10" i="15"/>
  <c r="I17" i="20"/>
  <c r="J9" i="20" s="1"/>
  <c r="D8" i="16"/>
  <c r="J24" i="17"/>
  <c r="J7" i="17" s="1"/>
  <c r="J31" i="17"/>
  <c r="J14" i="17" s="1"/>
  <c r="L11" i="18"/>
  <c r="N28" i="20"/>
  <c r="L42" i="20"/>
  <c r="N54" i="20"/>
  <c r="E34" i="24"/>
  <c r="E38" i="24"/>
  <c r="E41" i="24"/>
  <c r="E45" i="24"/>
  <c r="E62" i="24"/>
  <c r="G73" i="24"/>
  <c r="G81" i="24"/>
  <c r="D32" i="10"/>
  <c r="F32" i="10" s="1"/>
  <c r="D38" i="23"/>
  <c r="D9" i="23" s="1"/>
  <c r="D40" i="23"/>
  <c r="D11" i="23" s="1"/>
  <c r="D47" i="23"/>
  <c r="D18" i="23" s="1"/>
  <c r="D54" i="23"/>
  <c r="D25" i="23" s="1"/>
  <c r="D56" i="23"/>
  <c r="D27" i="23" s="1"/>
  <c r="F69" i="23"/>
  <c r="F77" i="23"/>
  <c r="E11" i="21"/>
  <c r="E16" i="21"/>
  <c r="E22" i="21"/>
  <c r="E27" i="21"/>
  <c r="E32" i="21"/>
  <c r="F7" i="16"/>
  <c r="K41" i="31"/>
  <c r="L16" i="15"/>
  <c r="O28" i="31"/>
  <c r="O57" i="31" s="1"/>
  <c r="O65" i="31"/>
  <c r="P8" i="15"/>
  <c r="N37" i="20"/>
  <c r="N43" i="20"/>
  <c r="H115" i="23"/>
  <c r="J10" i="15"/>
  <c r="D29" i="17"/>
  <c r="D12" i="17" s="1"/>
  <c r="R86" i="17"/>
  <c r="R85" i="17"/>
  <c r="R79" i="17"/>
  <c r="R75" i="17"/>
  <c r="R83" i="17"/>
  <c r="R78" i="17"/>
  <c r="R74" i="17"/>
  <c r="G32" i="18"/>
  <c r="H30" i="18" s="1"/>
  <c r="N39" i="20"/>
  <c r="G46" i="24"/>
  <c r="G25" i="24" s="1"/>
  <c r="G41" i="24"/>
  <c r="G33" i="24"/>
  <c r="G12" i="24" s="1"/>
  <c r="G43" i="24"/>
  <c r="G35" i="24"/>
  <c r="G14" i="24" s="1"/>
  <c r="H61" i="23"/>
  <c r="H60" i="23"/>
  <c r="H58" i="23"/>
  <c r="H54" i="23"/>
  <c r="H50" i="23"/>
  <c r="H46" i="23"/>
  <c r="H42" i="23"/>
  <c r="H38" i="23"/>
  <c r="H55" i="23"/>
  <c r="H51" i="23"/>
  <c r="H47" i="23"/>
  <c r="H43" i="23"/>
  <c r="H39" i="23"/>
  <c r="H10" i="23" s="1"/>
  <c r="H72" i="23"/>
  <c r="H117" i="23"/>
  <c r="N19" i="31"/>
  <c r="N38" i="31"/>
  <c r="J41" i="31"/>
  <c r="Q41" i="31"/>
  <c r="P19" i="15"/>
  <c r="P22" i="15" s="1"/>
  <c r="E28" i="15"/>
  <c r="F25" i="15" s="1"/>
  <c r="P31" i="15"/>
  <c r="F10" i="16"/>
  <c r="F12" i="16" s="1"/>
  <c r="H11" i="16"/>
  <c r="H12" i="16" s="1"/>
  <c r="F14" i="16"/>
  <c r="F16" i="16" s="1"/>
  <c r="F20" i="16"/>
  <c r="D24" i="17"/>
  <c r="D7" i="17" s="1"/>
  <c r="D28" i="17"/>
  <c r="D11" i="17" s="1"/>
  <c r="D32" i="17"/>
  <c r="D15" i="17" s="1"/>
  <c r="D36" i="17"/>
  <c r="D19" i="17" s="1"/>
  <c r="R80" i="17"/>
  <c r="G31" i="24"/>
  <c r="E18" i="24"/>
  <c r="E64" i="24"/>
  <c r="E61" i="24"/>
  <c r="E56" i="24"/>
  <c r="E53" i="24"/>
  <c r="E66" i="24"/>
  <c r="E24" i="24" s="1"/>
  <c r="E63" i="24"/>
  <c r="E58" i="24"/>
  <c r="E55" i="24"/>
  <c r="E13" i="24" s="1"/>
  <c r="H36" i="23"/>
  <c r="H44" i="23"/>
  <c r="H52" i="23"/>
  <c r="H95" i="23"/>
  <c r="H99" i="23"/>
  <c r="H103" i="23"/>
  <c r="H89" i="23"/>
  <c r="H31" i="23" s="1"/>
  <c r="H90" i="23"/>
  <c r="H87" i="23"/>
  <c r="H85" i="23"/>
  <c r="H83" i="23"/>
  <c r="H81" i="23"/>
  <c r="H79" i="23"/>
  <c r="H77" i="23"/>
  <c r="H75" i="23"/>
  <c r="H73" i="23"/>
  <c r="H71" i="23"/>
  <c r="H69" i="23"/>
  <c r="H67" i="23"/>
  <c r="H65" i="23"/>
  <c r="H118" i="23"/>
  <c r="H119" i="23"/>
  <c r="H111" i="23"/>
  <c r="H106" i="23"/>
  <c r="H104" i="23"/>
  <c r="H102" i="23"/>
  <c r="H100" i="23"/>
  <c r="H98" i="23"/>
  <c r="H96" i="23"/>
  <c r="H94" i="23"/>
  <c r="H113" i="23"/>
  <c r="K38" i="31"/>
  <c r="P25" i="15"/>
  <c r="P27" i="15"/>
  <c r="P30" i="15"/>
  <c r="D25" i="17"/>
  <c r="D8" i="17" s="1"/>
  <c r="D33" i="17"/>
  <c r="D16" i="17" s="1"/>
  <c r="D37" i="17"/>
  <c r="D20" i="17" s="1"/>
  <c r="R77" i="17"/>
  <c r="P11" i="18"/>
  <c r="G18" i="18"/>
  <c r="H14" i="18" s="1"/>
  <c r="H21" i="18"/>
  <c r="G37" i="24"/>
  <c r="G16" i="24" s="1"/>
  <c r="F62" i="23"/>
  <c r="H68" i="23"/>
  <c r="H76" i="23"/>
  <c r="H80" i="23"/>
  <c r="H88" i="23"/>
  <c r="N10" i="15"/>
  <c r="E16" i="15"/>
  <c r="F12" i="15" s="1"/>
  <c r="E22" i="15"/>
  <c r="F21" i="15" s="1"/>
  <c r="P24" i="15"/>
  <c r="P28" i="15" s="1"/>
  <c r="P33" i="15"/>
  <c r="D23" i="17"/>
  <c r="D27" i="17"/>
  <c r="D10" i="17" s="1"/>
  <c r="D31" i="17"/>
  <c r="D14" i="17" s="1"/>
  <c r="T41" i="17"/>
  <c r="T7" i="17" s="1"/>
  <c r="T43" i="17"/>
  <c r="T9" i="17" s="1"/>
  <c r="T45" i="17"/>
  <c r="T11" i="17" s="1"/>
  <c r="T47" i="17"/>
  <c r="T49" i="17"/>
  <c r="T51" i="17"/>
  <c r="T70" i="17"/>
  <c r="T19" i="17" s="1"/>
  <c r="T68" i="17"/>
  <c r="T66" i="17"/>
  <c r="T64" i="17"/>
  <c r="R81" i="17"/>
  <c r="G45" i="24"/>
  <c r="E57" i="24"/>
  <c r="E65" i="24"/>
  <c r="E23" i="24" s="1"/>
  <c r="E88" i="24"/>
  <c r="E25" i="24" s="1"/>
  <c r="E83" i="24"/>
  <c r="E80" i="24"/>
  <c r="E75" i="24"/>
  <c r="E12" i="24" s="1"/>
  <c r="H12" i="24" s="1"/>
  <c r="I12" i="24" s="1"/>
  <c r="K19" i="10" s="1"/>
  <c r="E85" i="24"/>
  <c r="E82" i="24"/>
  <c r="E19" i="24" s="1"/>
  <c r="E77" i="24"/>
  <c r="E74" i="24"/>
  <c r="E33" i="19"/>
  <c r="H41" i="23"/>
  <c r="H49" i="23"/>
  <c r="F22" i="23"/>
  <c r="H57" i="23"/>
  <c r="H59" i="23"/>
  <c r="H66" i="23"/>
  <c r="H70" i="23"/>
  <c r="H12" i="23" s="1"/>
  <c r="H74" i="23"/>
  <c r="H78" i="23"/>
  <c r="H82" i="23"/>
  <c r="H86" i="23"/>
  <c r="F88" i="23"/>
  <c r="F86" i="23"/>
  <c r="F84" i="23"/>
  <c r="F26" i="23" s="1"/>
  <c r="F82" i="23"/>
  <c r="F80" i="23"/>
  <c r="F78" i="23"/>
  <c r="F76" i="23"/>
  <c r="F18" i="23" s="1"/>
  <c r="F74" i="23"/>
  <c r="F16" i="23" s="1"/>
  <c r="F72" i="23"/>
  <c r="F70" i="23"/>
  <c r="F12" i="23" s="1"/>
  <c r="F68" i="23"/>
  <c r="F10" i="23" s="1"/>
  <c r="F66" i="23"/>
  <c r="F8" i="23" s="1"/>
  <c r="F90" i="23"/>
  <c r="H109" i="23"/>
  <c r="F117" i="23"/>
  <c r="F114" i="23"/>
  <c r="F27" i="23" s="1"/>
  <c r="F109" i="23"/>
  <c r="F119" i="23"/>
  <c r="F116" i="23"/>
  <c r="F111" i="23"/>
  <c r="F108" i="23"/>
  <c r="F106" i="23"/>
  <c r="F104" i="23"/>
  <c r="F102" i="23"/>
  <c r="F100" i="23"/>
  <c r="F98" i="23"/>
  <c r="F96" i="23"/>
  <c r="F9" i="23" s="1"/>
  <c r="F94" i="23"/>
  <c r="F7" i="23" s="1"/>
  <c r="M43" i="10"/>
  <c r="D36" i="12"/>
  <c r="D43" i="13"/>
  <c r="D10" i="13" s="1"/>
  <c r="F13" i="23"/>
  <c r="F21" i="23"/>
  <c r="F25" i="23"/>
  <c r="J23" i="27"/>
  <c r="K16" i="27" s="1"/>
  <c r="L16" i="27" s="1"/>
  <c r="E13" i="21"/>
  <c r="E37" i="21" s="1"/>
  <c r="E17" i="21"/>
  <c r="E21" i="21"/>
  <c r="E25" i="21"/>
  <c r="E29" i="21"/>
  <c r="E22" i="22"/>
  <c r="H23" i="18"/>
  <c r="R10" i="18"/>
  <c r="R35" i="18"/>
  <c r="R39" i="18" s="1"/>
  <c r="J13" i="20"/>
  <c r="J15" i="20"/>
  <c r="G17" i="20"/>
  <c r="N23" i="20"/>
  <c r="N27" i="20"/>
  <c r="E47" i="24"/>
  <c r="G85" i="24"/>
  <c r="D26" i="10"/>
  <c r="F26" i="10" s="1"/>
  <c r="K8" i="27"/>
  <c r="L8" i="27" s="1"/>
  <c r="K12" i="27"/>
  <c r="L12" i="27" s="1"/>
  <c r="H57" i="31"/>
  <c r="F26" i="15"/>
  <c r="Q35" i="31"/>
  <c r="F14" i="15"/>
  <c r="F18" i="15"/>
  <c r="Q28" i="31"/>
  <c r="K35" i="31"/>
  <c r="J35" i="31"/>
  <c r="N35" i="31"/>
  <c r="L55" i="31"/>
  <c r="Q38" i="31"/>
  <c r="I55" i="31"/>
  <c r="P21" i="17"/>
  <c r="G38" i="17"/>
  <c r="N27" i="17"/>
  <c r="N10" i="17" s="1"/>
  <c r="N35" i="17"/>
  <c r="N18" i="17" s="1"/>
  <c r="G72" i="17"/>
  <c r="H57" i="17" s="1"/>
  <c r="H24" i="18"/>
  <c r="T10" i="18"/>
  <c r="F7" i="10"/>
  <c r="F6" i="10"/>
  <c r="Q31" i="31"/>
  <c r="Q19" i="31"/>
  <c r="Q24" i="31"/>
  <c r="J31" i="31"/>
  <c r="N31" i="31"/>
  <c r="J38" i="31"/>
  <c r="H12" i="15"/>
  <c r="H13" i="15"/>
  <c r="H7" i="15" s="1"/>
  <c r="H14" i="15"/>
  <c r="H8" i="15" s="1"/>
  <c r="H16" i="18"/>
  <c r="H31" i="18"/>
  <c r="J8" i="20"/>
  <c r="J14" i="20"/>
  <c r="K31" i="31"/>
  <c r="L21" i="17"/>
  <c r="N23" i="17"/>
  <c r="H36" i="17"/>
  <c r="G55" i="17"/>
  <c r="H41" i="17" s="1"/>
  <c r="R54" i="17"/>
  <c r="R53" i="17"/>
  <c r="R52" i="17"/>
  <c r="R51" i="17"/>
  <c r="R50" i="17"/>
  <c r="R49" i="17"/>
  <c r="R48" i="17"/>
  <c r="R47" i="17"/>
  <c r="R46" i="17"/>
  <c r="R45" i="17"/>
  <c r="R44" i="17"/>
  <c r="R43" i="17"/>
  <c r="R42" i="17"/>
  <c r="R41" i="17"/>
  <c r="R40" i="17"/>
  <c r="H22" i="18"/>
  <c r="N34" i="17"/>
  <c r="N17" i="17" s="1"/>
  <c r="N30" i="17"/>
  <c r="N13" i="17" s="1"/>
  <c r="N26" i="17"/>
  <c r="N9" i="17" s="1"/>
  <c r="N37" i="17"/>
  <c r="N20" i="17" s="1"/>
  <c r="N33" i="17"/>
  <c r="N16" i="17" s="1"/>
  <c r="N29" i="17"/>
  <c r="N12" i="17" s="1"/>
  <c r="N25" i="17"/>
  <c r="N8" i="17" s="1"/>
  <c r="N36" i="17"/>
  <c r="N19" i="17" s="1"/>
  <c r="N32" i="17"/>
  <c r="N15" i="17" s="1"/>
  <c r="N28" i="17"/>
  <c r="N11" i="17" s="1"/>
  <c r="N24" i="17"/>
  <c r="N7" i="17" s="1"/>
  <c r="D15" i="18"/>
  <c r="D8" i="18" s="1"/>
  <c r="N15" i="18"/>
  <c r="N8" i="18" s="1"/>
  <c r="J16" i="18"/>
  <c r="J9" i="18" s="1"/>
  <c r="T20" i="18"/>
  <c r="T21" i="18"/>
  <c r="T22" i="18"/>
  <c r="T23" i="18"/>
  <c r="T27" i="18"/>
  <c r="T28" i="18"/>
  <c r="T29" i="18"/>
  <c r="T30" i="18"/>
  <c r="L22" i="20"/>
  <c r="L24" i="20"/>
  <c r="L26" i="20"/>
  <c r="L28" i="20"/>
  <c r="L14" i="20" s="1"/>
  <c r="N30" i="20"/>
  <c r="L36" i="20"/>
  <c r="L39" i="20"/>
  <c r="N41" i="20"/>
  <c r="L44" i="20"/>
  <c r="L16" i="20" s="1"/>
  <c r="L50" i="20"/>
  <c r="N52" i="20"/>
  <c r="L55" i="20"/>
  <c r="R57" i="17"/>
  <c r="R58" i="17"/>
  <c r="R59" i="17"/>
  <c r="R60" i="17"/>
  <c r="R61" i="17"/>
  <c r="R62" i="17"/>
  <c r="R63" i="17"/>
  <c r="R64" i="17"/>
  <c r="R65" i="17"/>
  <c r="R66" i="17"/>
  <c r="R67" i="17"/>
  <c r="R68" i="17"/>
  <c r="R69" i="17"/>
  <c r="R70" i="17"/>
  <c r="R84" i="17"/>
  <c r="R88" i="17"/>
  <c r="F17" i="20"/>
  <c r="D13" i="18"/>
  <c r="N13" i="18"/>
  <c r="J14" i="18"/>
  <c r="J7" i="18" s="1"/>
  <c r="N17" i="18"/>
  <c r="N10" i="18" s="1"/>
  <c r="H20" i="18"/>
  <c r="H27" i="18"/>
  <c r="L23" i="20"/>
  <c r="L25" i="20"/>
  <c r="L27" i="20"/>
  <c r="L13" i="20" s="1"/>
  <c r="L29" i="20"/>
  <c r="L40" i="20"/>
  <c r="L43" i="20"/>
  <c r="G10" i="24"/>
  <c r="H10" i="24" s="1"/>
  <c r="D40" i="10"/>
  <c r="F40" i="10" s="1"/>
  <c r="D38" i="10"/>
  <c r="F38" i="10" s="1"/>
  <c r="D42" i="10"/>
  <c r="F42" i="10" s="1"/>
  <c r="D33" i="10"/>
  <c r="F33" i="10" s="1"/>
  <c r="D30" i="10"/>
  <c r="F30" i="10" s="1"/>
  <c r="D41" i="10"/>
  <c r="F41" i="10" s="1"/>
  <c r="D39" i="10"/>
  <c r="F39" i="10" s="1"/>
  <c r="D37" i="10"/>
  <c r="F37" i="10" s="1"/>
  <c r="D34" i="10"/>
  <c r="F34" i="10" s="1"/>
  <c r="D31" i="10"/>
  <c r="F31" i="10" s="1"/>
  <c r="D28" i="10"/>
  <c r="F28" i="10" s="1"/>
  <c r="D29" i="10"/>
  <c r="F29" i="10" s="1"/>
  <c r="D24" i="10"/>
  <c r="F24" i="10" s="1"/>
  <c r="D22" i="10"/>
  <c r="F22" i="10" s="1"/>
  <c r="D18" i="10"/>
  <c r="F18" i="10" s="1"/>
  <c r="D36" i="10"/>
  <c r="F36" i="10" s="1"/>
  <c r="D27" i="10"/>
  <c r="F27" i="10" s="1"/>
  <c r="D25" i="10"/>
  <c r="F25" i="10" s="1"/>
  <c r="D19" i="10"/>
  <c r="F19" i="10" s="1"/>
  <c r="I5" i="10"/>
  <c r="D20" i="10"/>
  <c r="F20" i="10" s="1"/>
  <c r="I6" i="10"/>
  <c r="F5" i="10"/>
  <c r="D17" i="10"/>
  <c r="R82" i="17"/>
  <c r="R20" i="18"/>
  <c r="R21" i="18"/>
  <c r="R22" i="18"/>
  <c r="R23" i="18"/>
  <c r="R27" i="18"/>
  <c r="R28" i="18"/>
  <c r="R29" i="18"/>
  <c r="R30" i="18"/>
  <c r="L38" i="20"/>
  <c r="N44" i="20"/>
  <c r="N42" i="20"/>
  <c r="N40" i="20"/>
  <c r="N12" i="20" s="1"/>
  <c r="N38" i="20"/>
  <c r="N10" i="20" s="1"/>
  <c r="N36" i="20"/>
  <c r="N57" i="20"/>
  <c r="N15" i="20" s="1"/>
  <c r="N55" i="20"/>
  <c r="N53" i="20"/>
  <c r="N51" i="20"/>
  <c r="N9" i="20" s="1"/>
  <c r="G32" i="24"/>
  <c r="G34" i="24"/>
  <c r="G36" i="24"/>
  <c r="G38" i="24"/>
  <c r="G40" i="24"/>
  <c r="G42" i="24"/>
  <c r="G44" i="24"/>
  <c r="G53" i="24"/>
  <c r="G55" i="24"/>
  <c r="G57" i="24"/>
  <c r="G59" i="24"/>
  <c r="G61" i="24"/>
  <c r="G63" i="24"/>
  <c r="G65" i="24"/>
  <c r="G74" i="24"/>
  <c r="G76" i="24"/>
  <c r="G78" i="24"/>
  <c r="G80" i="24"/>
  <c r="G82" i="24"/>
  <c r="G84" i="24"/>
  <c r="G86" i="24"/>
  <c r="K21" i="27"/>
  <c r="L21" i="27" s="1"/>
  <c r="K9" i="27"/>
  <c r="L9" i="27" s="1"/>
  <c r="K22" i="27"/>
  <c r="L22" i="27" s="1"/>
  <c r="K10" i="27"/>
  <c r="L10" i="27" s="1"/>
  <c r="K11" i="27"/>
  <c r="L11" i="27" s="1"/>
  <c r="F7" i="19"/>
  <c r="D60" i="23"/>
  <c r="D31" i="23" s="1"/>
  <c r="E12" i="22"/>
  <c r="E16" i="22"/>
  <c r="E20" i="22"/>
  <c r="E24" i="22"/>
  <c r="E28" i="22"/>
  <c r="E32" i="22"/>
  <c r="E36" i="22"/>
  <c r="H108" i="23"/>
  <c r="H21" i="23" s="1"/>
  <c r="H110" i="23"/>
  <c r="H112" i="23"/>
  <c r="H114" i="23"/>
  <c r="H27" i="23" s="1"/>
  <c r="H116" i="23"/>
  <c r="E13" i="22"/>
  <c r="E17" i="22"/>
  <c r="E21" i="22"/>
  <c r="E25" i="22"/>
  <c r="E29" i="22"/>
  <c r="E33" i="22"/>
  <c r="D8" i="23"/>
  <c r="E11" i="22"/>
  <c r="E15" i="22"/>
  <c r="E19" i="22"/>
  <c r="E23" i="22"/>
  <c r="E27" i="22"/>
  <c r="E31" i="22"/>
  <c r="L9" i="20" l="1"/>
  <c r="L59" i="20"/>
  <c r="L10" i="20"/>
  <c r="J12" i="20"/>
  <c r="J17" i="20" s="1"/>
  <c r="J38" i="17"/>
  <c r="K20" i="27"/>
  <c r="L20" i="27" s="1"/>
  <c r="J11" i="20"/>
  <c r="F11" i="23"/>
  <c r="F19" i="23"/>
  <c r="I12" i="23"/>
  <c r="J12" i="23" s="1"/>
  <c r="F20" i="23"/>
  <c r="F28" i="23"/>
  <c r="E17" i="24"/>
  <c r="E15" i="24"/>
  <c r="P34" i="15"/>
  <c r="P9" i="15"/>
  <c r="H11" i="23"/>
  <c r="E21" i="24"/>
  <c r="H18" i="23"/>
  <c r="J21" i="17"/>
  <c r="D12" i="16"/>
  <c r="I27" i="23"/>
  <c r="J27" i="23" s="1"/>
  <c r="F17" i="23"/>
  <c r="E16" i="24"/>
  <c r="H16" i="24" s="1"/>
  <c r="I16" i="24" s="1"/>
  <c r="K24" i="10" s="1"/>
  <c r="E14" i="24"/>
  <c r="K19" i="27"/>
  <c r="L19" i="27" s="1"/>
  <c r="K14" i="27"/>
  <c r="L14" i="27" s="1"/>
  <c r="K13" i="27"/>
  <c r="L13" i="27" s="1"/>
  <c r="J11" i="18"/>
  <c r="K7" i="27"/>
  <c r="H23" i="23"/>
  <c r="I23" i="23" s="1"/>
  <c r="J23" i="23" s="1"/>
  <c r="K15" i="27"/>
  <c r="L15" i="27" s="1"/>
  <c r="K18" i="27"/>
  <c r="L18" i="27" s="1"/>
  <c r="K17" i="27"/>
  <c r="L17" i="27" s="1"/>
  <c r="G89" i="24"/>
  <c r="N14" i="20"/>
  <c r="O14" i="20" s="1"/>
  <c r="P14" i="20" s="1"/>
  <c r="J24" i="10" s="1"/>
  <c r="J10" i="20"/>
  <c r="J16" i="20"/>
  <c r="F24" i="15"/>
  <c r="F32" i="23"/>
  <c r="E20" i="24"/>
  <c r="E22" i="24"/>
  <c r="H22" i="24"/>
  <c r="I22" i="24" s="1"/>
  <c r="K30" i="10" s="1"/>
  <c r="H25" i="18"/>
  <c r="R10" i="17"/>
  <c r="R18" i="17"/>
  <c r="H52" i="17"/>
  <c r="F15" i="23"/>
  <c r="H28" i="23"/>
  <c r="G20" i="24"/>
  <c r="H20" i="24" s="1"/>
  <c r="I20" i="24" s="1"/>
  <c r="K28" i="10" s="1"/>
  <c r="F15" i="15"/>
  <c r="T15" i="17"/>
  <c r="N11" i="20"/>
  <c r="F6" i="16"/>
  <c r="F8" i="16" s="1"/>
  <c r="H47" i="17"/>
  <c r="F29" i="23"/>
  <c r="H24" i="23"/>
  <c r="H91" i="23"/>
  <c r="E89" i="24"/>
  <c r="T72" i="17"/>
  <c r="H14" i="23"/>
  <c r="I14" i="23" s="1"/>
  <c r="J14" i="23" s="1"/>
  <c r="L45" i="20"/>
  <c r="H29" i="23"/>
  <c r="I29" i="23" s="1"/>
  <c r="J29" i="23" s="1"/>
  <c r="I21" i="23"/>
  <c r="J21" i="23" s="1"/>
  <c r="I31" i="23"/>
  <c r="J31" i="23" s="1"/>
  <c r="L15" i="20"/>
  <c r="H14" i="24"/>
  <c r="I14" i="24" s="1"/>
  <c r="K21" i="10" s="1"/>
  <c r="H64" i="17"/>
  <c r="H54" i="17"/>
  <c r="T13" i="17"/>
  <c r="I11" i="23"/>
  <c r="J11" i="23" s="1"/>
  <c r="H19" i="23"/>
  <c r="I19" i="23" s="1"/>
  <c r="J19" i="23" s="1"/>
  <c r="E11" i="24"/>
  <c r="H8" i="23"/>
  <c r="H25" i="24"/>
  <c r="I25" i="24" s="1"/>
  <c r="K36" i="10" s="1"/>
  <c r="H13" i="18"/>
  <c r="H28" i="18"/>
  <c r="H46" i="17"/>
  <c r="H17" i="18"/>
  <c r="H29" i="18"/>
  <c r="H32" i="18" s="1"/>
  <c r="H20" i="23"/>
  <c r="I20" i="23" s="1"/>
  <c r="J20" i="23" s="1"/>
  <c r="H30" i="23"/>
  <c r="F19" i="15"/>
  <c r="E68" i="24"/>
  <c r="I18" i="23"/>
  <c r="J18" i="23" s="1"/>
  <c r="H13" i="23"/>
  <c r="I13" i="23" s="1"/>
  <c r="J13" i="23" s="1"/>
  <c r="F27" i="15"/>
  <c r="H25" i="23"/>
  <c r="I25" i="23" s="1"/>
  <c r="J25" i="23" s="1"/>
  <c r="G68" i="24"/>
  <c r="G19" i="24"/>
  <c r="H19" i="24" s="1"/>
  <c r="I19" i="24" s="1"/>
  <c r="K27" i="10" s="1"/>
  <c r="G11" i="24"/>
  <c r="H24" i="24"/>
  <c r="I24" i="24" s="1"/>
  <c r="K35" i="10" s="1"/>
  <c r="N59" i="20"/>
  <c r="R9" i="18"/>
  <c r="R89" i="17"/>
  <c r="N13" i="20"/>
  <c r="O13" i="20" s="1"/>
  <c r="P13" i="20" s="1"/>
  <c r="J23" i="10" s="1"/>
  <c r="H44" i="17"/>
  <c r="H15" i="18"/>
  <c r="H7" i="16"/>
  <c r="H8" i="16" s="1"/>
  <c r="P7" i="15"/>
  <c r="H71" i="17"/>
  <c r="F20" i="15"/>
  <c r="F8" i="15" s="1"/>
  <c r="Q8" i="15" s="1" a="1"/>
  <c r="Q8" i="15" s="1"/>
  <c r="R8" i="15" s="1"/>
  <c r="G39" i="10" s="1"/>
  <c r="N39" i="10" s="1"/>
  <c r="F30" i="23"/>
  <c r="H16" i="23"/>
  <c r="I16" i="23" s="1"/>
  <c r="J16" i="23" s="1"/>
  <c r="T17" i="17"/>
  <c r="T21" i="17" s="1"/>
  <c r="D38" i="17"/>
  <c r="D6" i="17"/>
  <c r="D21" i="17" s="1"/>
  <c r="F13" i="15"/>
  <c r="F7" i="15" s="1"/>
  <c r="H15" i="23"/>
  <c r="I15" i="23" s="1"/>
  <c r="J15" i="23" s="1"/>
  <c r="H22" i="23"/>
  <c r="I22" i="23" s="1"/>
  <c r="J22" i="23" s="1"/>
  <c r="H17" i="23"/>
  <c r="I17" i="23" s="1"/>
  <c r="J17" i="23" s="1"/>
  <c r="H9" i="18"/>
  <c r="H9" i="23"/>
  <c r="I9" i="23" s="1"/>
  <c r="J9" i="23" s="1"/>
  <c r="T55" i="17"/>
  <c r="I10" i="23"/>
  <c r="J10" i="23" s="1"/>
  <c r="O15" i="20"/>
  <c r="P15" i="20" s="1"/>
  <c r="J28" i="10" s="1"/>
  <c r="H18" i="24"/>
  <c r="I18" i="24" s="1"/>
  <c r="K26" i="10" s="1"/>
  <c r="L12" i="20"/>
  <c r="F28" i="15"/>
  <c r="F120" i="23"/>
  <c r="F24" i="23"/>
  <c r="I24" i="23" s="1"/>
  <c r="J24" i="23" s="1"/>
  <c r="F91" i="23"/>
  <c r="H7" i="23"/>
  <c r="I7" i="23" s="1"/>
  <c r="H62" i="23"/>
  <c r="H26" i="23"/>
  <c r="I26" i="23" s="1"/>
  <c r="J26" i="23" s="1"/>
  <c r="H32" i="23"/>
  <c r="P6" i="15"/>
  <c r="O9" i="20"/>
  <c r="P9" i="20" s="1"/>
  <c r="J18" i="10" s="1"/>
  <c r="O10" i="20"/>
  <c r="P10" i="20" s="1"/>
  <c r="J19" i="10" s="1"/>
  <c r="D33" i="23"/>
  <c r="T7" i="18"/>
  <c r="R14" i="17"/>
  <c r="H35" i="17"/>
  <c r="H31" i="17"/>
  <c r="H27" i="17"/>
  <c r="H23" i="17"/>
  <c r="H37" i="17"/>
  <c r="H29" i="17"/>
  <c r="H33" i="17"/>
  <c r="H25" i="17"/>
  <c r="K55" i="31"/>
  <c r="J55" i="31"/>
  <c r="N55" i="31"/>
  <c r="G17" i="24"/>
  <c r="H17" i="24" s="1"/>
  <c r="I17" i="24" s="1"/>
  <c r="K25" i="10" s="1"/>
  <c r="R8" i="18"/>
  <c r="D43" i="10"/>
  <c r="F17" i="10"/>
  <c r="L11" i="20"/>
  <c r="N16" i="20"/>
  <c r="O16" i="20" s="1"/>
  <c r="P16" i="20" s="1"/>
  <c r="J29" i="10" s="1"/>
  <c r="L31" i="20"/>
  <c r="L8" i="20"/>
  <c r="T32" i="18"/>
  <c r="T25" i="18"/>
  <c r="T6" i="18"/>
  <c r="H6" i="18"/>
  <c r="H70" i="17"/>
  <c r="H62" i="17"/>
  <c r="R7" i="17"/>
  <c r="R11" i="17"/>
  <c r="R15" i="17"/>
  <c r="R19" i="17"/>
  <c r="H50" i="17"/>
  <c r="H42" i="17"/>
  <c r="H28" i="17"/>
  <c r="H10" i="18"/>
  <c r="U10" i="18" s="1" a="1"/>
  <c r="U10" i="18" s="1"/>
  <c r="V10" i="18" s="1"/>
  <c r="G31" i="10" s="1"/>
  <c r="H30" i="17"/>
  <c r="H69" i="17"/>
  <c r="H61" i="17"/>
  <c r="H53" i="17"/>
  <c r="H45" i="17"/>
  <c r="H32" i="17"/>
  <c r="Q7" i="15" a="1"/>
  <c r="Q7" i="15" s="1"/>
  <c r="R7" i="15" s="1"/>
  <c r="G38" i="10" s="1"/>
  <c r="N38" i="10" s="1"/>
  <c r="E37" i="22"/>
  <c r="E6" i="22" s="1"/>
  <c r="G7" i="19"/>
  <c r="G33" i="19" s="1"/>
  <c r="G36" i="19" s="1"/>
  <c r="G38" i="19" s="1"/>
  <c r="F33" i="19"/>
  <c r="H120" i="23"/>
  <c r="G23" i="24"/>
  <c r="H23" i="24" s="1"/>
  <c r="I23" i="24" s="1"/>
  <c r="K33" i="10" s="1"/>
  <c r="G15" i="24"/>
  <c r="H15" i="24" s="1"/>
  <c r="I15" i="24" s="1"/>
  <c r="K23" i="10" s="1"/>
  <c r="N45" i="20"/>
  <c r="N8" i="20"/>
  <c r="R7" i="18"/>
  <c r="R72" i="17"/>
  <c r="T9" i="18"/>
  <c r="H34" i="17"/>
  <c r="J18" i="18"/>
  <c r="H68" i="17"/>
  <c r="H60" i="17"/>
  <c r="R8" i="17"/>
  <c r="R12" i="17"/>
  <c r="R16" i="17"/>
  <c r="R20" i="17"/>
  <c r="H48" i="17"/>
  <c r="H40" i="17"/>
  <c r="N38" i="17"/>
  <c r="N6" i="17"/>
  <c r="N21" i="17" s="1"/>
  <c r="H16" i="15"/>
  <c r="H6" i="15"/>
  <c r="H10" i="15" s="1"/>
  <c r="H67" i="17"/>
  <c r="H59" i="17"/>
  <c r="H51" i="17"/>
  <c r="H43" i="17"/>
  <c r="I6" i="16" a="1"/>
  <c r="I6" i="16" s="1"/>
  <c r="F6" i="15"/>
  <c r="I57" i="31"/>
  <c r="I10" i="24"/>
  <c r="D6" i="18"/>
  <c r="D18" i="18"/>
  <c r="R55" i="17"/>
  <c r="R6" i="17"/>
  <c r="O56" i="31"/>
  <c r="H63" i="17"/>
  <c r="K23" i="27"/>
  <c r="L7" i="27"/>
  <c r="L23" i="27" s="1"/>
  <c r="D62" i="23"/>
  <c r="G21" i="24"/>
  <c r="H21" i="24" s="1"/>
  <c r="I21" i="24" s="1"/>
  <c r="K29" i="10" s="1"/>
  <c r="G13" i="24"/>
  <c r="H13" i="24" s="1"/>
  <c r="I13" i="24" s="1"/>
  <c r="K20" i="10" s="1"/>
  <c r="R32" i="18"/>
  <c r="R6" i="18"/>
  <c r="R25" i="18"/>
  <c r="N31" i="10"/>
  <c r="G47" i="24"/>
  <c r="N18" i="18"/>
  <c r="N6" i="18"/>
  <c r="N11" i="18" s="1"/>
  <c r="T8" i="18"/>
  <c r="H26" i="17"/>
  <c r="N31" i="20"/>
  <c r="H66" i="17"/>
  <c r="H58" i="17"/>
  <c r="R9" i="17"/>
  <c r="R13" i="17"/>
  <c r="R17" i="17"/>
  <c r="H7" i="18"/>
  <c r="H65" i="17"/>
  <c r="H49" i="17"/>
  <c r="H24" i="17"/>
  <c r="L57" i="31"/>
  <c r="Q57" i="31" s="1"/>
  <c r="Q55" i="31"/>
  <c r="H13" i="17" l="1"/>
  <c r="H19" i="17"/>
  <c r="U19" i="17" s="1" a="1"/>
  <c r="U19" i="17" s="1"/>
  <c r="V19" i="17" s="1"/>
  <c r="G35" i="10" s="1"/>
  <c r="E26" i="24"/>
  <c r="I28" i="23"/>
  <c r="J28" i="23" s="1"/>
  <c r="I32" i="23"/>
  <c r="J32" i="23" s="1"/>
  <c r="O12" i="20"/>
  <c r="P12" i="20" s="1"/>
  <c r="J21" i="10" s="1"/>
  <c r="F9" i="15"/>
  <c r="Q9" i="15" s="1" a="1"/>
  <c r="Q9" i="15" s="1"/>
  <c r="R9" i="15" s="1"/>
  <c r="G40" i="10" s="1"/>
  <c r="N40" i="10" s="1"/>
  <c r="I7" i="16" a="1"/>
  <c r="I7" i="16" s="1"/>
  <c r="J7" i="16" s="1"/>
  <c r="G42" i="10" s="1"/>
  <c r="N42" i="10" s="1"/>
  <c r="H33" i="23"/>
  <c r="N35" i="10"/>
  <c r="H9" i="17"/>
  <c r="U9" i="17" s="1" a="1"/>
  <c r="U9" i="17" s="1"/>
  <c r="V9" i="17" s="1"/>
  <c r="G23" i="10" s="1"/>
  <c r="N23" i="10" s="1"/>
  <c r="O11" i="20"/>
  <c r="P11" i="20" s="1"/>
  <c r="J20" i="10" s="1"/>
  <c r="F22" i="15"/>
  <c r="P10" i="15"/>
  <c r="N17" i="20"/>
  <c r="H18" i="18"/>
  <c r="H11" i="24"/>
  <c r="I11" i="24" s="1"/>
  <c r="K18" i="10" s="1"/>
  <c r="J7" i="23"/>
  <c r="H72" i="17"/>
  <c r="G26" i="24"/>
  <c r="I8" i="23"/>
  <c r="J8" i="23" s="1"/>
  <c r="H8" i="18"/>
  <c r="U8" i="18" s="1" a="1"/>
  <c r="U8" i="18" s="1"/>
  <c r="V8" i="18" s="1"/>
  <c r="G21" i="10" s="1"/>
  <c r="N21" i="10" s="1"/>
  <c r="F16" i="15"/>
  <c r="U13" i="17" a="1"/>
  <c r="U13" i="17" s="1"/>
  <c r="V13" i="17" s="1"/>
  <c r="G28" i="10" s="1"/>
  <c r="N28" i="10" s="1"/>
  <c r="H20" i="17"/>
  <c r="U20" i="17" s="1" a="1"/>
  <c r="U20" i="17" s="1"/>
  <c r="V20" i="17" s="1"/>
  <c r="G36" i="10" s="1"/>
  <c r="N36" i="10" s="1"/>
  <c r="H18" i="17"/>
  <c r="U18" i="17" s="1" a="1"/>
  <c r="U18" i="17" s="1"/>
  <c r="V18" i="17" s="1"/>
  <c r="G34" i="10" s="1"/>
  <c r="N34" i="10" s="1"/>
  <c r="I30" i="23"/>
  <c r="J30" i="23" s="1"/>
  <c r="U7" i="18" a="1"/>
  <c r="U7" i="18" s="1"/>
  <c r="V7" i="18" s="1"/>
  <c r="G20" i="10" s="1"/>
  <c r="N20" i="10" s="1"/>
  <c r="R11" i="18"/>
  <c r="U9" i="18" a="1"/>
  <c r="U9" i="18" s="1"/>
  <c r="V9" i="18" s="1"/>
  <c r="G26" i="10" s="1"/>
  <c r="N26" i="10" s="1"/>
  <c r="F33" i="23"/>
  <c r="J57" i="31"/>
  <c r="K57" i="31"/>
  <c r="H55" i="17"/>
  <c r="F10" i="15"/>
  <c r="Q6" i="15" a="1"/>
  <c r="Q6" i="15" s="1"/>
  <c r="H7" i="17"/>
  <c r="U7" i="17" s="1" a="1"/>
  <c r="U7" i="17" s="1"/>
  <c r="V7" i="17" s="1"/>
  <c r="G19" i="10" s="1"/>
  <c r="N19" i="10" s="1"/>
  <c r="R21" i="17"/>
  <c r="U6" i="18" a="1"/>
  <c r="U6" i="18" s="1"/>
  <c r="D11" i="18"/>
  <c r="T11" i="18"/>
  <c r="H16" i="17"/>
  <c r="U16" i="17" s="1" a="1"/>
  <c r="U16" i="17" s="1"/>
  <c r="V16" i="17" s="1"/>
  <c r="G32" i="10" s="1"/>
  <c r="N32" i="10" s="1"/>
  <c r="H10" i="17"/>
  <c r="U10" i="17" s="1" a="1"/>
  <c r="U10" i="17" s="1"/>
  <c r="V10" i="17" s="1"/>
  <c r="G24" i="10" s="1"/>
  <c r="N24" i="10" s="1"/>
  <c r="K17" i="10"/>
  <c r="K43" i="10" s="1"/>
  <c r="J6" i="16"/>
  <c r="I8" i="16"/>
  <c r="P25" i="31"/>
  <c r="P18" i="31"/>
  <c r="P16" i="31"/>
  <c r="P49" i="31"/>
  <c r="P47" i="31"/>
  <c r="P27" i="31"/>
  <c r="P22" i="31"/>
  <c r="P50" i="31"/>
  <c r="P48" i="31"/>
  <c r="P44" i="31"/>
  <c r="P39" i="31"/>
  <c r="P32" i="31"/>
  <c r="P23" i="31"/>
  <c r="P17" i="31"/>
  <c r="P43" i="31"/>
  <c r="P33" i="31"/>
  <c r="P40" i="31"/>
  <c r="P31" i="31"/>
  <c r="P19" i="31"/>
  <c r="P41" i="31"/>
  <c r="P24" i="31"/>
  <c r="P35" i="31"/>
  <c r="P55" i="31"/>
  <c r="P28" i="31"/>
  <c r="P26" i="31"/>
  <c r="H26" i="24"/>
  <c r="H15" i="17"/>
  <c r="U15" i="17" s="1" a="1"/>
  <c r="U15" i="17" s="1"/>
  <c r="V15" i="17" s="1"/>
  <c r="G30" i="10" s="1"/>
  <c r="N30" i="10" s="1"/>
  <c r="H11" i="17"/>
  <c r="U11" i="17" s="1" a="1"/>
  <c r="U11" i="17" s="1"/>
  <c r="V11" i="17" s="1"/>
  <c r="G25" i="10" s="1"/>
  <c r="N25" i="10" s="1"/>
  <c r="H12" i="17"/>
  <c r="U12" i="17" s="1" a="1"/>
  <c r="U12" i="17" s="1"/>
  <c r="V12" i="17" s="1"/>
  <c r="G27" i="10" s="1"/>
  <c r="N27" i="10" s="1"/>
  <c r="H14" i="17"/>
  <c r="U14" i="17" s="1" a="1"/>
  <c r="U14" i="17" s="1"/>
  <c r="V14" i="17" s="1"/>
  <c r="G29" i="10" s="1"/>
  <c r="N29" i="10" s="1"/>
  <c r="N57" i="31"/>
  <c r="L56" i="31"/>
  <c r="M57" i="31"/>
  <c r="M35" i="31"/>
  <c r="M19" i="31"/>
  <c r="M28" i="31"/>
  <c r="H17" i="17"/>
  <c r="U17" i="17" s="1" a="1"/>
  <c r="U17" i="17" s="1"/>
  <c r="V17" i="17" s="1"/>
  <c r="G33" i="10" s="1"/>
  <c r="N33" i="10" s="1"/>
  <c r="H11" i="18"/>
  <c r="L17" i="20"/>
  <c r="O8" i="20"/>
  <c r="F43" i="10"/>
  <c r="M55" i="31"/>
  <c r="H8" i="17"/>
  <c r="U8" i="17" s="1" a="1"/>
  <c r="U8" i="17" s="1"/>
  <c r="V8" i="17" s="1"/>
  <c r="G22" i="10" s="1"/>
  <c r="N22" i="10" s="1"/>
  <c r="H38" i="17"/>
  <c r="H6" i="17"/>
  <c r="I26" i="24" l="1"/>
  <c r="J33" i="23"/>
  <c r="I33" i="23"/>
  <c r="P8" i="20"/>
  <c r="O17" i="20"/>
  <c r="M41" i="31"/>
  <c r="M26" i="31"/>
  <c r="M17" i="31"/>
  <c r="M25" i="31"/>
  <c r="M49" i="31"/>
  <c r="M47" i="31"/>
  <c r="M43" i="31"/>
  <c r="M40" i="31"/>
  <c r="M33" i="31"/>
  <c r="M27" i="31"/>
  <c r="M24" i="31"/>
  <c r="M16" i="31"/>
  <c r="P38" i="31"/>
  <c r="M23" i="31"/>
  <c r="M22" i="31"/>
  <c r="M50" i="31"/>
  <c r="M48" i="31"/>
  <c r="M44" i="31"/>
  <c r="M39" i="31"/>
  <c r="M32" i="31"/>
  <c r="M31" i="31"/>
  <c r="M38" i="31"/>
  <c r="V6" i="18"/>
  <c r="U11" i="18"/>
  <c r="H21" i="17"/>
  <c r="U6" i="17" a="1"/>
  <c r="U6" i="17" s="1"/>
  <c r="P57" i="31"/>
  <c r="G41" i="10"/>
  <c r="N41" i="10" s="1"/>
  <c r="J8" i="16"/>
  <c r="R6" i="15"/>
  <c r="Q10" i="15"/>
  <c r="G37" i="10" l="1"/>
  <c r="N37" i="10" s="1"/>
  <c r="R10" i="15"/>
  <c r="U21" i="17"/>
  <c r="V6" i="17"/>
  <c r="G17" i="10"/>
  <c r="V11" i="18"/>
  <c r="J17" i="10"/>
  <c r="J43" i="10" s="1"/>
  <c r="P17" i="20"/>
  <c r="G18" i="10" l="1"/>
  <c r="N18" i="10" s="1"/>
  <c r="V21" i="17"/>
  <c r="H43" i="10" l="1"/>
  <c r="N17" i="10"/>
  <c r="N43" i="10" s="1"/>
  <c r="G43" i="10"/>
</calcChain>
</file>

<file path=xl/sharedStrings.xml><?xml version="1.0" encoding="utf-8"?>
<sst xmlns="http://schemas.openxmlformats.org/spreadsheetml/2006/main" count="1140" uniqueCount="312">
  <si>
    <t>údaje v Kč</t>
  </si>
  <si>
    <t>Ukazatel P - společenské priority</t>
  </si>
  <si>
    <t>Kód VVŠ</t>
  </si>
  <si>
    <t>Název VVŠ</t>
  </si>
  <si>
    <t>Univerzita Karlova</t>
  </si>
  <si>
    <t>Jihočeská univerzita v Českých Budějovicích</t>
  </si>
  <si>
    <t>Univerzita Jana Evangelisty Purkyně v Ústí nad Labem</t>
  </si>
  <si>
    <t>Masarykova univerzita</t>
  </si>
  <si>
    <t>Univerzita Palackého v Olomouci</t>
  </si>
  <si>
    <t>Veterinární a farmaceutická univerzita Brno</t>
  </si>
  <si>
    <t>Ostravská univerzita</t>
  </si>
  <si>
    <t>Univerzita Hradec Králové</t>
  </si>
  <si>
    <t>Slezská univerzita v Opavě</t>
  </si>
  <si>
    <t>České vysoké učení technické v Praze</t>
  </si>
  <si>
    <t>Vysoká škola chemicko-technologická v Praze</t>
  </si>
  <si>
    <t>Západočeská univerzita v Plzni</t>
  </si>
  <si>
    <t>Technická univerzita v Liberci</t>
  </si>
  <si>
    <t>Univerzita Pardubice</t>
  </si>
  <si>
    <t>Vysoké učení technické v Brně</t>
  </si>
  <si>
    <t>Vysoká škola báňská - Technická univerzita Ostrava</t>
  </si>
  <si>
    <t>Univerzita Tomáše Bati ve Zlíně</t>
  </si>
  <si>
    <t>Vysoká škola ekonomická v Praze</t>
  </si>
  <si>
    <t>Česká zemědělská univerzita v Praze</t>
  </si>
  <si>
    <t>Mendelova univerzita v Brně</t>
  </si>
  <si>
    <t>Akademie múzických umění v Praze</t>
  </si>
  <si>
    <t>Akademie výtvarných umění v Praze</t>
  </si>
  <si>
    <t>Vysoká škola uměleckoprůmyslová v Praze</t>
  </si>
  <si>
    <t>Janáčkova akademie múzických umění v Brně</t>
  </si>
  <si>
    <t>Vysoká škola polytechnická Jihlava</t>
  </si>
  <si>
    <t>Vysoká škola technická a ekonomická v Českých Budějovicích</t>
  </si>
  <si>
    <t>Celkem</t>
  </si>
  <si>
    <t>Podíl v %</t>
  </si>
  <si>
    <t>Částka</t>
  </si>
  <si>
    <t>Krácení finančních prostředků *)</t>
  </si>
  <si>
    <t>Částka po krácení</t>
  </si>
  <si>
    <t>vč. krácení dle čl. 10 odst. 7 Pravidel</t>
  </si>
  <si>
    <t>částka vyčleněná na RO I</t>
  </si>
  <si>
    <t>Kč</t>
  </si>
  <si>
    <t>Podíl na RO I</t>
  </si>
  <si>
    <t>RO I celkem</t>
  </si>
  <si>
    <t xml:space="preserve">     v tom ukazatel A - fixní část</t>
  </si>
  <si>
    <t xml:space="preserve">     v tom ukazatel K - výkonová část </t>
  </si>
  <si>
    <t xml:space="preserve">     v tom ukazatel P - společenské priority</t>
  </si>
  <si>
    <t>Podíl na A + K</t>
  </si>
  <si>
    <t>Ukazatel A - fixní část</t>
  </si>
  <si>
    <t>Ukazatel K - výkonová část</t>
  </si>
  <si>
    <t>Lékařské fakulty</t>
  </si>
  <si>
    <t>Pedagogické fakulty</t>
  </si>
  <si>
    <t xml:space="preserve">                 v tom lékařské fakulty</t>
  </si>
  <si>
    <t xml:space="preserve">                 v tom pedagogické fakulty</t>
  </si>
  <si>
    <t>*) Finanční prostředky kráceny uplatněním čl. 10 odst. 7 Pravidel</t>
  </si>
  <si>
    <t>(Nezahrnuje dotace na programy reprodukce majetku)</t>
  </si>
  <si>
    <t>Položka</t>
  </si>
  <si>
    <t>meziroční změna</t>
  </si>
  <si>
    <t>Průměrný normativ</t>
  </si>
  <si>
    <t>x</t>
  </si>
  <si>
    <t>Výpočt. stip. v doktor. studiu (ročně)</t>
  </si>
  <si>
    <t>Základní normativ</t>
  </si>
  <si>
    <t>Výpočtové ubytovací stipendium (ročně)</t>
  </si>
  <si>
    <t xml:space="preserve">Normativ absolventa </t>
  </si>
  <si>
    <t>Výpočtová dotace na 1  jídlo</t>
  </si>
  <si>
    <t>Název ukazatele / položky</t>
  </si>
  <si>
    <t>Rozpočet 2017</t>
  </si>
  <si>
    <r>
      <t xml:space="preserve">% podíl z celku </t>
    </r>
    <r>
      <rPr>
        <i/>
        <sz val="11"/>
        <color indexed="23"/>
        <rFont val="Arial"/>
        <family val="2"/>
        <charset val="238"/>
      </rPr>
      <t>(sl. 3)</t>
    </r>
  </si>
  <si>
    <r>
      <t xml:space="preserve">Meziroční vývoj 
</t>
    </r>
    <r>
      <rPr>
        <i/>
        <sz val="11"/>
        <color indexed="23"/>
        <rFont val="Arial"/>
        <family val="2"/>
        <charset val="238"/>
      </rPr>
      <t>(sl. 3 vs 2)</t>
    </r>
  </si>
  <si>
    <t>Rozpočet 2018</t>
  </si>
  <si>
    <r>
      <t xml:space="preserve">% podíl z celku </t>
    </r>
    <r>
      <rPr>
        <i/>
        <sz val="11"/>
        <color indexed="23"/>
        <rFont val="Arial"/>
        <family val="2"/>
        <charset val="238"/>
      </rPr>
      <t>(sl. 6)</t>
    </r>
  </si>
  <si>
    <r>
      <t xml:space="preserve">Meziroční vývoj 
</t>
    </r>
    <r>
      <rPr>
        <i/>
        <sz val="11"/>
        <color indexed="23"/>
        <rFont val="Arial"/>
        <family val="2"/>
        <charset val="238"/>
      </rPr>
      <t>(sl. 6 vs 3)</t>
    </r>
  </si>
  <si>
    <t>Rozpočet 2019</t>
  </si>
  <si>
    <r>
      <t xml:space="preserve">% podíl z celku </t>
    </r>
    <r>
      <rPr>
        <i/>
        <sz val="11"/>
        <color indexed="23"/>
        <rFont val="Arial"/>
        <family val="2"/>
        <charset val="238"/>
      </rPr>
      <t>(sl. 9)</t>
    </r>
  </si>
  <si>
    <r>
      <t xml:space="preserve">Meziroční vývoj 
</t>
    </r>
    <r>
      <rPr>
        <i/>
        <sz val="11"/>
        <color indexed="23"/>
        <rFont val="Arial"/>
        <family val="2"/>
        <charset val="238"/>
      </rPr>
      <t>(sl. 9 vs 6)</t>
    </r>
  </si>
  <si>
    <t>Rozpočtový okruh I, institucionální část rozpočtu</t>
  </si>
  <si>
    <t>P</t>
  </si>
  <si>
    <t>Celkem normativní část rozpočtu</t>
  </si>
  <si>
    <t>Rozpočtový okruh II, Sociální záležitosti studentů</t>
  </si>
  <si>
    <t>Ukazatel C - stipendia pro studenty doktorských stud. prog.</t>
  </si>
  <si>
    <t>D</t>
  </si>
  <si>
    <t>Ukazatel J - dotace na ubytování a stravování studentů</t>
  </si>
  <si>
    <t>Ukazatel S1 - příspěvek na sociální stipendia VVŠ</t>
  </si>
  <si>
    <t>Ukazatel U1- příspěvek na ubytovací stipendia VVŠ</t>
  </si>
  <si>
    <t>Celkem sociální záležitosti studentů</t>
  </si>
  <si>
    <t>Rozpočtový okruh III, Rozvoj vysokých škol</t>
  </si>
  <si>
    <t xml:space="preserve">Ukazatel I - rozvojové programy </t>
  </si>
  <si>
    <t>Institucionální plány (dříve decentralizované)</t>
  </si>
  <si>
    <t>Centralizované rozvojové projekty</t>
  </si>
  <si>
    <t>Program digitalizace</t>
  </si>
  <si>
    <t>Celkem rozvoj vysokých škol</t>
  </si>
  <si>
    <t>Rozpočtový okruh IV, Mezinárodní spolupráce a ostatní</t>
  </si>
  <si>
    <t>Ukazatel D - mezinárodní spolupráce</t>
  </si>
  <si>
    <t>CEEPUS</t>
  </si>
  <si>
    <t>Podpora mezinárodní spolupráce</t>
  </si>
  <si>
    <t>Ukazatel F - Fond vzdělávací politiky</t>
  </si>
  <si>
    <t>V tom:</t>
  </si>
  <si>
    <t>Systémová podpora VŠ</t>
  </si>
  <si>
    <t>Studium studentů se specifickými potřebami</t>
  </si>
  <si>
    <t>Univerzita třetího věku (U3V)</t>
  </si>
  <si>
    <t>Podpora umělecké tvůrčí činnosti</t>
  </si>
  <si>
    <t>Podpora VŠ - pozměňovací návrh PS</t>
  </si>
  <si>
    <t>další</t>
  </si>
  <si>
    <t>Rezerva na priority MŠMT</t>
  </si>
  <si>
    <t>Ukazatel M - mimořádné aktivity VŠ</t>
  </si>
  <si>
    <t>Celkem Mezinárodní spolupráce a ostatní</t>
  </si>
  <si>
    <t>Ukazatel rozpočtu VŠ (zák. o státním rozpočtu)</t>
  </si>
  <si>
    <t>Příspěvek celkem</t>
  </si>
  <si>
    <t>Dotace celkem</t>
  </si>
  <si>
    <t>V některých ukazatelích může být poskytnut příspěvek nebo dotace v závislosti na účelu, na který se poskytuje.</t>
  </si>
  <si>
    <t>Rozpočet 2020</t>
  </si>
  <si>
    <t>Ukazatel C</t>
  </si>
  <si>
    <t>Jednotková výše stipendia - 10 měsíců v roce (Kč)</t>
  </si>
  <si>
    <t>měsíčně</t>
  </si>
  <si>
    <t>Jednotková výše stipendia (Kč)</t>
  </si>
  <si>
    <t>ročně</t>
  </si>
  <si>
    <t>údaje v Kć</t>
  </si>
  <si>
    <t>Počet stud. v DSPSP</t>
  </si>
  <si>
    <t xml:space="preserve">Výše příspěvku           v ukazateli </t>
  </si>
  <si>
    <t>Stipendia pro studenty doktorských studijních programů v roce 2020</t>
  </si>
  <si>
    <t>Zdrojem dat o studentech s nárokem na doktroské stipendium je SIMS k 31. 10. 2019</t>
  </si>
  <si>
    <t>Ukazatel U</t>
  </si>
  <si>
    <t>Základní údaje</t>
  </si>
  <si>
    <t>Počet studentů splňujících podmínky VVŠ</t>
  </si>
  <si>
    <t>Počet studentů splňujících podmínky SVŠ</t>
  </si>
  <si>
    <t>Jednotková sazba (Kč)</t>
  </si>
  <si>
    <t>Výše příspěvku pro VVŠ (Kč)</t>
  </si>
  <si>
    <t>Maximální možná výše dotace pro SVŠ (Kč)</t>
  </si>
  <si>
    <t>Ukazatel U1 - veřejné vysoké školy</t>
  </si>
  <si>
    <t>Název VŠ</t>
  </si>
  <si>
    <t>Počet studentů</t>
  </si>
  <si>
    <t>výše příspěvku</t>
  </si>
  <si>
    <t>Celkem   V V Š</t>
  </si>
  <si>
    <t>Zdrojem počtu studentů s nárokem na ubytovací stipendium je SIMS k 31. 10. 2019</t>
  </si>
  <si>
    <t>SP přípravující budoucí ped. pracovníky</t>
  </si>
  <si>
    <t>Ekonomická knihovna VŠE</t>
  </si>
  <si>
    <t>Váha parametru</t>
  </si>
  <si>
    <t>Mezinárodní mobility</t>
  </si>
  <si>
    <t>Zaměstnanost abolventů</t>
  </si>
  <si>
    <t>VaV</t>
  </si>
  <si>
    <t>RUV</t>
  </si>
  <si>
    <t>Externí příjmy</t>
  </si>
  <si>
    <t>Podíl v rámci segmentu</t>
  </si>
  <si>
    <t>Celkový podíl na výkonové části</t>
  </si>
  <si>
    <t>Vyslaní</t>
  </si>
  <si>
    <t>Přijatí</t>
  </si>
  <si>
    <t>Podíl</t>
  </si>
  <si>
    <t>CELKEM</t>
  </si>
  <si>
    <t>Graduation rate</t>
  </si>
  <si>
    <t>Zaměstnanost absolventů</t>
  </si>
  <si>
    <t>Cizinci (AP + VP)</t>
  </si>
  <si>
    <t>Výkonová část RO I - 2020 - Segment 1</t>
  </si>
  <si>
    <t>Výkonová část RO I - 2020 - Segment 2</t>
  </si>
  <si>
    <t>Výkonová část RO I - 2020 - Segment 3</t>
  </si>
  <si>
    <t>Výkonová část RO I - 2020 - Segment 4</t>
  </si>
  <si>
    <t xml:space="preserve">                 v tom učitelské SP</t>
  </si>
  <si>
    <t xml:space="preserve">                 v tom ekonomická knihovna CIKS</t>
  </si>
  <si>
    <t>Rozpočtový okruh I, institucionální část rozpočtu - celkový výpočet na rok 2020</t>
  </si>
  <si>
    <t>Ubytovací stipendium v roce 2020</t>
  </si>
  <si>
    <t>Bilance zdrojů pro rozdělení příspěvku a dotací vysokým školám v roce 2020</t>
  </si>
  <si>
    <t>Ukazatel J</t>
  </si>
  <si>
    <t xml:space="preserve">celkový počet vydaných jídel </t>
  </si>
  <si>
    <t>Dotace (Kč)</t>
  </si>
  <si>
    <t>teplých</t>
  </si>
  <si>
    <t>studených</t>
  </si>
  <si>
    <t>stud. přepočt.</t>
  </si>
  <si>
    <t>celkem tep. + st. přep.</t>
  </si>
  <si>
    <t>Normativ na jedno hlavní jídlo (Kč)</t>
  </si>
  <si>
    <t>Roční příspěvek na stravování (Kč)</t>
  </si>
  <si>
    <t>Rezerva na žádosti dle čl. 16 Pravidel (Kč)</t>
  </si>
  <si>
    <t xml:space="preserve"> Dotace na ubytování a stravování studentů v roce 2020</t>
  </si>
  <si>
    <t>Částka v rozpisu rozpočtu na rok 2020 (Kč)</t>
  </si>
  <si>
    <t>Ukazatel P - společenské priority - pedagogické fakulty</t>
  </si>
  <si>
    <t>Název fakulty</t>
  </si>
  <si>
    <t>Podíl na celku</t>
  </si>
  <si>
    <t>Objem na dorovnání v Kč</t>
  </si>
  <si>
    <t>Částka v Kč</t>
  </si>
  <si>
    <t>Pedagogická fakulta</t>
  </si>
  <si>
    <t>Fakulta př/hum a pedagogická</t>
  </si>
  <si>
    <t>Výše mzd. prostředků za rok 2018 z kap. 333 v tis. Kč</t>
  </si>
  <si>
    <t>Průměrná mzda akadem. pracovníka za rok 2018 z kap. 333</t>
  </si>
  <si>
    <t>Přepočtený počet akad. pracovníků hrazených z kap. 333 za rok 2018</t>
  </si>
  <si>
    <t xml:space="preserve">Ukazatel F </t>
  </si>
  <si>
    <t>Podpora financování nákladů souvisejících se vzděláváním seniorů prostřednictvím tzv. Univerzit třetího věku v roce 2020</t>
  </si>
  <si>
    <t>Celková částka podle rozpisu rozpočtu (Kč)</t>
  </si>
  <si>
    <t>Jednotková částka na jednu studentohodinu (Kč)</t>
  </si>
  <si>
    <t>Upravený nárok</t>
  </si>
  <si>
    <t>Počet účastníků U3V</t>
  </si>
  <si>
    <t>Počet studento- hodin</t>
  </si>
  <si>
    <t xml:space="preserve">Příspěvek na U3V na r. 2020
</t>
  </si>
  <si>
    <t>Ukazatel F</t>
  </si>
  <si>
    <t>Celková částka vyčleněná na studium SSP (Kč)</t>
  </si>
  <si>
    <t>Rozsah vykrytí kalkulovaných zvýšených nákladů (%)</t>
  </si>
  <si>
    <t>Počet studentů    se SP</t>
  </si>
  <si>
    <t>Kalkulované zvýšené náklady (Kč)</t>
  </si>
  <si>
    <t>Podpora financování zvýšených nákladů souvisejících se studiem studentů se specifickými potřebami v roce 2020</t>
  </si>
  <si>
    <r>
      <rPr>
        <b/>
        <sz val="10"/>
        <color theme="1"/>
        <rFont val="Calibri"/>
        <family val="2"/>
        <charset val="238"/>
        <scheme val="minor"/>
      </rPr>
      <t xml:space="preserve">Pro rok 2019 </t>
    </r>
    <r>
      <rPr>
        <sz val="10"/>
        <color theme="1"/>
        <rFont val="Calibri"/>
        <family val="2"/>
        <charset val="238"/>
        <scheme val="minor"/>
      </rPr>
      <t xml:space="preserve">byly uplatněné </t>
    </r>
    <r>
      <rPr>
        <b/>
        <sz val="10"/>
        <color theme="1"/>
        <rFont val="Calibri"/>
        <family val="2"/>
        <charset val="238"/>
        <scheme val="minor"/>
      </rPr>
      <t>nároky vykryty ve výši 88,76 %.</t>
    </r>
  </si>
  <si>
    <t>Příspěvek na studium SSP    v r. 2020
(v Kč)</t>
  </si>
  <si>
    <t>Ukazatel D</t>
  </si>
  <si>
    <t>VVŠ</t>
  </si>
  <si>
    <t>Mobility - výjezdy</t>
  </si>
  <si>
    <t>Mobility - příjezdy</t>
  </si>
  <si>
    <t>C e l k e m</t>
  </si>
  <si>
    <t>Podpora mezinárodní spolupráce v roce 2020</t>
  </si>
  <si>
    <t>Výše prostředků pro r. 2020</t>
  </si>
  <si>
    <t>Zdrojem dat jsou výstupy SIMS k 31. 10. 2019</t>
  </si>
  <si>
    <t>Alokace pro rok 2019</t>
  </si>
  <si>
    <r>
      <t>Sociální stipendium (měsíčně)</t>
    </r>
    <r>
      <rPr>
        <b/>
        <vertAlign val="superscript"/>
        <sz val="11"/>
        <rFont val="Arial"/>
        <family val="2"/>
        <charset val="238"/>
      </rPr>
      <t xml:space="preserve"> 2*)</t>
    </r>
  </si>
  <si>
    <r>
      <t xml:space="preserve">Příspěvek </t>
    </r>
    <r>
      <rPr>
        <b/>
        <vertAlign val="superscript"/>
        <sz val="11"/>
        <rFont val="Arial"/>
        <family val="2"/>
        <charset val="238"/>
      </rPr>
      <t>1*</t>
    </r>
    <r>
      <rPr>
        <b/>
        <sz val="11"/>
        <rFont val="Arial"/>
        <family val="2"/>
        <charset val="238"/>
      </rPr>
      <t>)</t>
    </r>
  </si>
  <si>
    <r>
      <t xml:space="preserve">Dotace </t>
    </r>
    <r>
      <rPr>
        <b/>
        <vertAlign val="superscript"/>
        <sz val="11"/>
        <rFont val="Arial"/>
        <family val="2"/>
        <charset val="238"/>
      </rPr>
      <t>1*)</t>
    </r>
  </si>
  <si>
    <t>v tom</t>
  </si>
  <si>
    <t>Celkem příspěvek + dotace</t>
  </si>
  <si>
    <t>Výdaje na EDS/SMVS (sekce I)</t>
  </si>
  <si>
    <t>Výdaje na mezinárodní spolupráci (sekce VI)</t>
  </si>
  <si>
    <t>Výdaje na činnost VŠ</t>
  </si>
  <si>
    <t xml:space="preserve">1*) </t>
  </si>
  <si>
    <t xml:space="preserve">2*) </t>
  </si>
  <si>
    <t>Vychází z výše minimální mzdy od 1. 1. 2020</t>
  </si>
  <si>
    <t>Soukromé VŠ</t>
  </si>
  <si>
    <t>Univerzita obrany</t>
  </si>
  <si>
    <t>Ukazatel U2 - dotace na ubytovací stipendia SVŠ</t>
  </si>
  <si>
    <t>Ukazatel S2 - dotace na sociální stipendia SVŠ</t>
  </si>
  <si>
    <t>Studia v cizím jazyce</t>
  </si>
  <si>
    <t>Ukazatel I</t>
  </si>
  <si>
    <t>Orientační limit</t>
  </si>
  <si>
    <t>Rozvojové programy - Institucionální plány 2020</t>
  </si>
  <si>
    <t>Přepočtený počet studií k 31. 10. 2019</t>
  </si>
  <si>
    <t>Počet rozpočtových absolventů za období 1. 11. 2018 - 31. 10. 2019</t>
  </si>
  <si>
    <t>Rok 2018</t>
  </si>
  <si>
    <t>Přepočtený počet studií k 31. 10. 2018</t>
  </si>
  <si>
    <t>Počet rozpočtových absolventů za období 1. 11. 2017 - 31. 10. 2018</t>
  </si>
  <si>
    <t>Rok 2017</t>
  </si>
  <si>
    <t>Přepočtený počet studií k 31. 10. 2017</t>
  </si>
  <si>
    <t>Počet rozpočtových absolventů za období 1. 11. 2016 - 31. 10. 2017</t>
  </si>
  <si>
    <t>Počet studentů k 31. 10.</t>
  </si>
  <si>
    <t xml:space="preserve">Počet rozpočtových absolventů za období 1. 11.  - 31. 10. </t>
  </si>
  <si>
    <t>Ukazatel P - společenské priority - podpora pedagogických SP</t>
  </si>
  <si>
    <t>Přepočtená studia</t>
  </si>
  <si>
    <t>Rozpočtoví absolventi</t>
  </si>
  <si>
    <t>Počet</t>
  </si>
  <si>
    <t>Rok 2019</t>
  </si>
  <si>
    <t>Přepočtená studia k 31. 10. 2019</t>
  </si>
  <si>
    <t>Rozpočtoví absolventi za období 1. 11. 2018 - 31. 10. 2019</t>
  </si>
  <si>
    <t>Přepočtená studia k 31. 10. 2018</t>
  </si>
  <si>
    <t>Rozpočtoví absolventi za období 1. 11. 2017 - 31. 10. 2018</t>
  </si>
  <si>
    <t>Přepočtená studia k 31. 10. 2017</t>
  </si>
  <si>
    <t>Rozpočtoví absolventi za období 1. 11. 2016 - 31. 10. 2017</t>
  </si>
  <si>
    <t>RUV body</t>
  </si>
  <si>
    <t>Podíl na FUČ</t>
  </si>
  <si>
    <t>Kód fakulty</t>
  </si>
  <si>
    <t>Název Fakulty</t>
  </si>
  <si>
    <t>1300</t>
  </si>
  <si>
    <t>Fakulta umění a designu</t>
  </si>
  <si>
    <t>1700</t>
  </si>
  <si>
    <t>Fakulta umění</t>
  </si>
  <si>
    <t>2100</t>
  </si>
  <si>
    <t>Fakulta architektury</t>
  </si>
  <si>
    <t>2300</t>
  </si>
  <si>
    <t>Fakulta designu a umění Ladislava Sutnara</t>
  </si>
  <si>
    <t>2400</t>
  </si>
  <si>
    <t>Fakulta umění a architektury</t>
  </si>
  <si>
    <t>2500</t>
  </si>
  <si>
    <t>Fakulta restaurování</t>
  </si>
  <si>
    <t>2600</t>
  </si>
  <si>
    <t>Fakulta výtvarných umění</t>
  </si>
  <si>
    <t>2800</t>
  </si>
  <si>
    <t>Fakulta multimediálních komunikací</t>
  </si>
  <si>
    <t>5100</t>
  </si>
  <si>
    <t>Hudební fakulta</t>
  </si>
  <si>
    <t>Divadelní fakulta</t>
  </si>
  <si>
    <t>Filmová a televizní fakulta</t>
  </si>
  <si>
    <t>5200</t>
  </si>
  <si>
    <t>Celoškolská pracoviště (studium mimo fakulty)</t>
  </si>
  <si>
    <t>5300</t>
  </si>
  <si>
    <t>5400</t>
  </si>
  <si>
    <t>Hudební a taneční fakulta</t>
  </si>
  <si>
    <t>Fond umělecké činnosti (FUČ)</t>
  </si>
  <si>
    <t xml:space="preserve">3*) </t>
  </si>
  <si>
    <t>Kompenzace UVVŠ **)</t>
  </si>
  <si>
    <t>Rezerva na navýš. RO I dle čl. 14 odst. 3 Pravidel pro rok 2020</t>
  </si>
  <si>
    <t>Podpora pedagogický fakult ve výši 115 000 000 Kč poskytována od roku 2019 skrze ukazatel P. Podpora pedagogických studijních programů ve výši 85 000 000 Kč poskytována od roku 2020 skrze ukazatel P. Podpora ve výši 30 000 000 Kč je směřována na pedagogické studijní programy s deficitními aprobacemi (matematika, fyzika, chemie, biologie a informatika).</t>
  </si>
  <si>
    <r>
      <t xml:space="preserve">Podpora pedagogických fakult/pedagogických studijních programů </t>
    </r>
    <r>
      <rPr>
        <i/>
        <vertAlign val="superscript"/>
        <sz val="11"/>
        <rFont val="Arial"/>
        <family val="2"/>
        <charset val="238"/>
      </rPr>
      <t>3*)</t>
    </r>
  </si>
  <si>
    <t>Bude upřesněno v průběhu roku podle povahy schválených výdajů ukazatele F</t>
  </si>
  <si>
    <t>Specifický přístup k UVVŠ dle čl. 14 odst. 3</t>
  </si>
  <si>
    <t>**) Kompenzace disproporce mezi nárůstem prostředků na dlouhodobý koncepční rozvoj výzumných organizací u UVVŠ a ostatních VVŠ dle čl. 14 odst. 3 Pravidel. Finanční prostředky ve výši 37 370 000 Kč dokryty z RO IV.</t>
  </si>
  <si>
    <t>Alokace</t>
  </si>
  <si>
    <t>Výše prostředků</t>
  </si>
  <si>
    <t>Údaje v Kč</t>
  </si>
  <si>
    <t>Fond umělecké činnosti</t>
  </si>
  <si>
    <t>Celková částka vyčleněná na FUČ pro rok 2020</t>
  </si>
  <si>
    <t>Vyčleněná částka na pedagogické fakulty pro rok 2020</t>
  </si>
  <si>
    <t>Vyčleněná částka na pedagogické studijní programy pro rok 2020</t>
  </si>
  <si>
    <t xml:space="preserve">Zdrojem dat je statistický výstup MŠMT P1b-04 za rok 2018 a výstupy ze SIMS k 31. 10. </t>
  </si>
  <si>
    <t>Zdrojem dat jsou výstupy ze SIMS k 31. 10.</t>
  </si>
  <si>
    <t>Jedná o SP s dvojčíslím "75" bez SP zaměřených na sociální práci a sociální péči (7502;7508) - staré kódování a o SP s ISCED-F začínající na dvojčíslí "01" nebo převažující oblastí vzdělávání 19 nebo 30.</t>
  </si>
  <si>
    <t>Členění rozpisu rozpočtu (vč. výdajů na EDS/SMVS a výdajů na mezinárodní spolupráci) z pohledu struktury údajů státní pokladny</t>
  </si>
  <si>
    <t>Seznam tabulek:</t>
  </si>
  <si>
    <t>Ukazatel F - U3V</t>
  </si>
  <si>
    <t>Rozpis rozpočtu vysokých škol na rok 2020</t>
  </si>
  <si>
    <t>Výkonová část - segment 1</t>
  </si>
  <si>
    <t>Výkonová část - segment 2</t>
  </si>
  <si>
    <t>Výkonová část - segment 3</t>
  </si>
  <si>
    <t>Výkonová část - segment 4</t>
  </si>
  <si>
    <t>Ukazatel P - Pedagogické fakulty</t>
  </si>
  <si>
    <t>Ukazatel P - Pedagogické SP</t>
  </si>
  <si>
    <t xml:space="preserve">Ukazatel F - SSP </t>
  </si>
  <si>
    <t>2a</t>
  </si>
  <si>
    <t>2b</t>
  </si>
  <si>
    <t>2c</t>
  </si>
  <si>
    <t>2d</t>
  </si>
  <si>
    <t>3a</t>
  </si>
  <si>
    <t>3b</t>
  </si>
  <si>
    <t>11a</t>
  </si>
  <si>
    <t>11b</t>
  </si>
  <si>
    <t>Rozpočtový okruh I</t>
  </si>
  <si>
    <t>Seznam</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</si>
</sst>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0\ &quot;Kč&quot;;[Red]\-#,##0\ &quot;Kč&quot;"/>
    <numFmt numFmtId="8" formatCode="#,##0.00\ &quot;Kč&quot;;[Red]\-#,##0.00\ &quot;Kč&quot;"/>
    <numFmt numFmtId="164" formatCode="0.000%"/>
    <numFmt numFmtId="165" formatCode="0.0%"/>
    <numFmt numFmtId="166" formatCode="#,##0\ &quot;Kč&quot;"/>
    <numFmt numFmtId="167" formatCode="#,##0.00\ &quot;Kč&quot;"/>
    <numFmt numFmtId="168" formatCode="0.0"/>
    <numFmt numFmtId="169" formatCode="#,##0.00_ ;[Red]\-#,##0.00\ "/>
    <numFmt numFmtId="170" formatCode="_-* #,##0\ [$Kč-405]_-;\-* #,##0\ [$Kč-405]_-;_-* &quot;-&quot;??\ [$Kč-405]_-;_-@_-"/>
  </numFmts>
  <fonts count="61" x14ac:knownFonts="1">
    <font>
      <sz val="11"/>
      <color theme="1"/>
      <name val="Calibri"/>
      <family val="2"/>
      <charset val="238"/>
      <scheme val="minor"/>
    </font>
    <font>
      <sz val="11"/>
      <color theme="1"/>
      <name val="Calibri"/>
      <family val="2"/>
      <charset val="238"/>
      <scheme val="minor"/>
    </font>
    <font>
      <b/>
      <sz val="18"/>
      <name val="Arial"/>
      <family val="2"/>
      <charset val="238"/>
    </font>
    <font>
      <b/>
      <sz val="22"/>
      <name val="Arial"/>
      <family val="2"/>
      <charset val="238"/>
    </font>
    <font>
      <sz val="10"/>
      <name val="Arial"/>
      <family val="2"/>
      <charset val="238"/>
    </font>
    <font>
      <b/>
      <sz val="11"/>
      <name val="Arial"/>
      <family val="2"/>
      <charset val="238"/>
    </font>
    <font>
      <sz val="11"/>
      <name val="Arial"/>
      <family val="2"/>
      <charset val="238"/>
    </font>
    <font>
      <b/>
      <sz val="11"/>
      <color theme="1"/>
      <name val="Arial"/>
      <family val="2"/>
      <charset val="238"/>
    </font>
    <font>
      <sz val="11"/>
      <color theme="1"/>
      <name val="Arial"/>
      <family val="2"/>
      <charset val="238"/>
    </font>
    <font>
      <b/>
      <sz val="22"/>
      <name val="Calibri"/>
      <family val="2"/>
      <charset val="238"/>
      <scheme val="minor"/>
    </font>
    <font>
      <sz val="13.5"/>
      <color theme="1"/>
      <name val="Calibri"/>
      <family val="2"/>
      <charset val="238"/>
      <scheme val="minor"/>
    </font>
    <font>
      <u/>
      <sz val="11"/>
      <color theme="10"/>
      <name val="Calibri"/>
      <family val="2"/>
      <charset val="238"/>
      <scheme val="minor"/>
    </font>
    <font>
      <b/>
      <sz val="11"/>
      <color theme="1"/>
      <name val="Calibri"/>
      <family val="2"/>
      <charset val="238"/>
      <scheme val="minor"/>
    </font>
    <font>
      <sz val="11"/>
      <name val="Times New Roman CE"/>
      <charset val="238"/>
    </font>
    <font>
      <b/>
      <sz val="12"/>
      <name val="Arial"/>
      <family val="2"/>
      <charset val="238"/>
    </font>
    <font>
      <sz val="12"/>
      <name val="Arial"/>
      <family val="2"/>
      <charset val="238"/>
    </font>
    <font>
      <sz val="10"/>
      <name val="Arial CE"/>
      <charset val="238"/>
    </font>
    <font>
      <i/>
      <sz val="11"/>
      <name val="Arial"/>
      <family val="2"/>
      <charset val="238"/>
    </font>
    <font>
      <b/>
      <i/>
      <sz val="11"/>
      <color rgb="FF808080"/>
      <name val="Arial"/>
      <family val="2"/>
      <charset val="238"/>
    </font>
    <font>
      <i/>
      <sz val="11"/>
      <color indexed="23"/>
      <name val="Arial"/>
      <family val="2"/>
      <charset val="238"/>
    </font>
    <font>
      <b/>
      <i/>
      <sz val="11"/>
      <name val="Arial"/>
      <family val="2"/>
      <charset val="238"/>
    </font>
    <font>
      <i/>
      <sz val="11"/>
      <color rgb="FF808080"/>
      <name val="Arial"/>
      <family val="2"/>
      <charset val="238"/>
    </font>
    <font>
      <i/>
      <sz val="11"/>
      <color rgb="FFFF0000"/>
      <name val="Arial"/>
      <family val="2"/>
      <charset val="238"/>
    </font>
    <font>
      <b/>
      <i/>
      <sz val="12"/>
      <name val="Arial"/>
      <family val="2"/>
      <charset val="238"/>
    </font>
    <font>
      <i/>
      <sz val="11"/>
      <color theme="1"/>
      <name val="Arial"/>
      <family val="2"/>
      <charset val="238"/>
    </font>
    <font>
      <i/>
      <sz val="12"/>
      <name val="Arial"/>
      <family val="2"/>
      <charset val="238"/>
    </font>
    <font>
      <i/>
      <sz val="12"/>
      <color rgb="FF808080"/>
      <name val="Arial"/>
      <family val="2"/>
      <charset val="238"/>
    </font>
    <font>
      <b/>
      <i/>
      <sz val="12"/>
      <color rgb="FF808080"/>
      <name val="Arial"/>
      <family val="2"/>
      <charset val="238"/>
    </font>
    <font>
      <b/>
      <i/>
      <sz val="12"/>
      <color theme="1"/>
      <name val="Arial"/>
      <family val="2"/>
      <charset val="238"/>
    </font>
    <font>
      <sz val="11"/>
      <color rgb="FFFF0000"/>
      <name val="Arial"/>
      <family val="2"/>
      <charset val="238"/>
    </font>
    <font>
      <i/>
      <sz val="10"/>
      <name val="Arial"/>
      <family val="2"/>
      <charset val="238"/>
    </font>
    <font>
      <i/>
      <sz val="11"/>
      <color theme="0"/>
      <name val="Arial"/>
      <family val="2"/>
      <charset val="238"/>
    </font>
    <font>
      <sz val="11"/>
      <color theme="0"/>
      <name val="Arial"/>
      <family val="2"/>
      <charset val="238"/>
    </font>
    <font>
      <b/>
      <sz val="12"/>
      <color theme="1"/>
      <name val="Arial"/>
      <family val="2"/>
      <charset val="238"/>
    </font>
    <font>
      <b/>
      <sz val="14"/>
      <color theme="1"/>
      <name val="Arial"/>
      <family val="2"/>
      <charset val="238"/>
    </font>
    <font>
      <vertAlign val="superscript"/>
      <sz val="11"/>
      <name val="Arial"/>
      <family val="2"/>
      <charset val="238"/>
    </font>
    <font>
      <b/>
      <sz val="15"/>
      <name val="Arial"/>
      <family val="2"/>
      <charset val="238"/>
    </font>
    <font>
      <b/>
      <sz val="16"/>
      <name val="Arial"/>
      <family val="2"/>
      <charset val="238"/>
    </font>
    <font>
      <b/>
      <sz val="20"/>
      <name val="Arial"/>
      <family val="2"/>
      <charset val="238"/>
    </font>
    <font>
      <sz val="10"/>
      <color theme="1"/>
      <name val="Arial"/>
      <family val="2"/>
      <charset val="238"/>
    </font>
    <font>
      <b/>
      <sz val="22"/>
      <color indexed="8"/>
      <name val="Arial"/>
      <family val="2"/>
      <charset val="238"/>
    </font>
    <font>
      <b/>
      <sz val="18"/>
      <color indexed="8"/>
      <name val="Arial"/>
      <family val="2"/>
      <charset val="238"/>
    </font>
    <font>
      <b/>
      <sz val="16"/>
      <color indexed="8"/>
      <name val="Arial"/>
      <family val="2"/>
      <charset val="238"/>
    </font>
    <font>
      <b/>
      <sz val="15"/>
      <color indexed="8"/>
      <name val="Arial"/>
      <family val="2"/>
      <charset val="238"/>
    </font>
    <font>
      <b/>
      <sz val="10"/>
      <color rgb="FFFF0000"/>
      <name val="Arial"/>
      <family val="2"/>
      <charset val="238"/>
    </font>
    <font>
      <b/>
      <sz val="10"/>
      <name val="Arial"/>
      <family val="2"/>
      <charset val="238"/>
    </font>
    <font>
      <sz val="11"/>
      <name val="Times New Roman CE"/>
      <family val="1"/>
      <charset val="238"/>
    </font>
    <font>
      <b/>
      <sz val="22"/>
      <color theme="1"/>
      <name val="Arial"/>
      <family val="2"/>
      <charset val="238"/>
    </font>
    <font>
      <b/>
      <sz val="16"/>
      <color theme="1"/>
      <name val="Arial"/>
      <family val="2"/>
      <charset val="238"/>
    </font>
    <font>
      <sz val="11"/>
      <color indexed="8"/>
      <name val="Arial"/>
      <family val="2"/>
      <charset val="238"/>
    </font>
    <font>
      <b/>
      <sz val="22"/>
      <color rgb="FFFF0000"/>
      <name val="Arial"/>
      <family val="2"/>
      <charset val="238"/>
    </font>
    <font>
      <b/>
      <sz val="10"/>
      <color theme="1"/>
      <name val="Arial"/>
      <family val="2"/>
      <charset val="238"/>
    </font>
    <font>
      <b/>
      <sz val="11"/>
      <color indexed="8"/>
      <name val="Arial"/>
      <family val="2"/>
      <charset val="238"/>
    </font>
    <font>
      <sz val="10"/>
      <color theme="1"/>
      <name val="Calibri"/>
      <family val="2"/>
      <charset val="238"/>
      <scheme val="minor"/>
    </font>
    <font>
      <b/>
      <sz val="10"/>
      <color theme="1"/>
      <name val="Calibri"/>
      <family val="2"/>
      <charset val="238"/>
      <scheme val="minor"/>
    </font>
    <font>
      <u/>
      <sz val="10"/>
      <name val="Arial"/>
      <family val="2"/>
      <charset val="238"/>
    </font>
    <font>
      <b/>
      <vertAlign val="superscript"/>
      <sz val="11"/>
      <name val="Arial"/>
      <family val="2"/>
      <charset val="238"/>
    </font>
    <font>
      <i/>
      <vertAlign val="superscript"/>
      <sz val="11"/>
      <name val="Arial"/>
      <family val="2"/>
      <charset val="238"/>
    </font>
    <font>
      <sz val="22"/>
      <name val="Arial"/>
      <family val="2"/>
      <charset val="238"/>
    </font>
    <font>
      <u/>
      <sz val="11"/>
      <name val="Arial"/>
      <family val="2"/>
      <charset val="238"/>
    </font>
    <font>
      <sz val="11"/>
      <name val="Calibri"/>
      <family val="2"/>
      <charset val="238"/>
      <scheme val="minor"/>
    </font>
  </fonts>
  <fills count="18">
    <fill>
      <patternFill patternType="none"/>
    </fill>
    <fill>
      <patternFill patternType="gray125"/>
    </fill>
    <fill>
      <patternFill patternType="solid">
        <fgColor theme="8"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rgb="FFA9D08E"/>
        <bgColor indexed="64"/>
      </patternFill>
    </fill>
    <fill>
      <patternFill patternType="solid">
        <fgColor rgb="FFFFD966"/>
        <bgColor indexed="64"/>
      </patternFill>
    </fill>
    <fill>
      <patternFill patternType="solid">
        <fgColor rgb="FFF4B084"/>
        <bgColor indexed="64"/>
      </patternFill>
    </fill>
    <fill>
      <patternFill patternType="solid">
        <fgColor rgb="FF9BC2E6"/>
        <bgColor indexed="64"/>
      </patternFill>
    </fill>
    <fill>
      <patternFill patternType="solid">
        <fgColor theme="0" tint="-0.14999847407452621"/>
        <bgColor indexed="64"/>
      </patternFill>
    </fill>
    <fill>
      <patternFill patternType="solid">
        <fgColor indexed="65"/>
        <bgColor indexed="64"/>
      </patternFill>
    </fill>
  </fills>
  <borders count="11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theme="9" tint="-0.499984740745262"/>
      </right>
      <top style="medium">
        <color indexed="64"/>
      </top>
      <bottom/>
      <diagonal/>
    </border>
    <border>
      <left style="medium">
        <color theme="9" tint="-0.499984740745262"/>
      </left>
      <right style="medium">
        <color theme="9" tint="-0.499984740745262"/>
      </right>
      <top style="medium">
        <color theme="9" tint="-0.499984740745262"/>
      </top>
      <bottom/>
      <diagonal/>
    </border>
    <border>
      <left style="medium">
        <color theme="9" tint="-0.499984740745262"/>
      </left>
      <right style="thin">
        <color indexed="64"/>
      </right>
      <top style="medium">
        <color indexed="64"/>
      </top>
      <bottom/>
      <diagonal/>
    </border>
    <border>
      <left style="medium">
        <color indexed="64"/>
      </left>
      <right style="medium">
        <color theme="1"/>
      </right>
      <top style="medium">
        <color theme="9" tint="-0.499984740745262"/>
      </top>
      <bottom/>
      <diagonal/>
    </border>
    <border>
      <left style="thin">
        <color indexed="64"/>
      </left>
      <right/>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theme="9" tint="-0.499984740745262"/>
      </right>
      <top/>
      <bottom/>
      <diagonal/>
    </border>
    <border>
      <left style="medium">
        <color theme="9" tint="-0.499984740745262"/>
      </left>
      <right style="medium">
        <color theme="9" tint="-0.499984740745262"/>
      </right>
      <top/>
      <bottom/>
      <diagonal/>
    </border>
    <border>
      <left style="medium">
        <color theme="9" tint="-0.499984740745262"/>
      </left>
      <right style="thin">
        <color indexed="64"/>
      </right>
      <top/>
      <bottom/>
      <diagonal/>
    </border>
    <border>
      <left style="medium">
        <color indexed="64"/>
      </left>
      <right style="medium">
        <color theme="1"/>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theme="9" tint="-0.499984740745262"/>
      </right>
      <top/>
      <bottom style="medium">
        <color indexed="64"/>
      </bottom>
      <diagonal/>
    </border>
    <border>
      <left style="medium">
        <color theme="9" tint="-0.499984740745262"/>
      </left>
      <right style="medium">
        <color theme="9" tint="-0.499984740745262"/>
      </right>
      <top/>
      <bottom style="medium">
        <color indexed="64"/>
      </bottom>
      <diagonal/>
    </border>
    <border>
      <left style="medium">
        <color theme="9" tint="-0.499984740745262"/>
      </left>
      <right style="thin">
        <color indexed="64"/>
      </right>
      <top/>
      <bottom style="medium">
        <color indexed="64"/>
      </bottom>
      <diagonal/>
    </border>
    <border>
      <left style="medium">
        <color indexed="64"/>
      </left>
      <right style="medium">
        <color theme="1"/>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theme="9" tint="-0.499984740745262"/>
      </left>
      <right style="medium">
        <color theme="9" tint="-0.499984740745262"/>
      </right>
      <top style="medium">
        <color indexed="64"/>
      </top>
      <bottom/>
      <diagonal/>
    </border>
    <border>
      <left style="medium">
        <color indexed="64"/>
      </left>
      <right style="medium">
        <color theme="1"/>
      </right>
      <top style="medium">
        <color indexed="64"/>
      </top>
      <bottom/>
      <diagonal/>
    </border>
    <border>
      <left/>
      <right/>
      <top style="thin">
        <color indexed="64"/>
      </top>
      <bottom/>
      <diagonal/>
    </border>
    <border>
      <left style="medium">
        <color theme="9" tint="-0.499984740745262"/>
      </left>
      <right style="medium">
        <color theme="9" tint="-0.499984740745262"/>
      </right>
      <top style="thin">
        <color indexed="64"/>
      </top>
      <bottom/>
      <diagonal/>
    </border>
    <border>
      <left style="medium">
        <color indexed="64"/>
      </left>
      <right style="medium">
        <color theme="1"/>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theme="9" tint="-0.499984740745262"/>
      </left>
      <right style="medium">
        <color theme="9" tint="-0.499984740745262"/>
      </right>
      <top style="thin">
        <color indexed="64"/>
      </top>
      <bottom style="medium">
        <color indexed="64"/>
      </bottom>
      <diagonal/>
    </border>
    <border>
      <left style="medium">
        <color indexed="64"/>
      </left>
      <right style="medium">
        <color theme="1"/>
      </right>
      <top style="thin">
        <color indexed="64"/>
      </top>
      <bottom style="medium">
        <color indexed="64"/>
      </bottom>
      <diagonal/>
    </border>
    <border>
      <left style="medium">
        <color theme="9" tint="-0.499984740745262"/>
      </left>
      <right style="medium">
        <color theme="9" tint="-0.499984740745262"/>
      </right>
      <top style="thin">
        <color indexed="64"/>
      </top>
      <bottom style="thin">
        <color indexed="64"/>
      </bottom>
      <diagonal/>
    </border>
    <border>
      <left style="medium">
        <color indexed="64"/>
      </left>
      <right style="medium">
        <color theme="1"/>
      </right>
      <top style="thin">
        <color indexed="64"/>
      </top>
      <bottom style="thin">
        <color indexed="64"/>
      </bottom>
      <diagonal/>
    </border>
    <border>
      <left style="medium">
        <color theme="9" tint="-0.499984740745262"/>
      </left>
      <right style="medium">
        <color theme="9" tint="-0.499984740745262"/>
      </right>
      <top/>
      <bottom style="thin">
        <color indexed="64"/>
      </bottom>
      <diagonal/>
    </border>
    <border>
      <left style="medium">
        <color indexed="64"/>
      </left>
      <right style="medium">
        <color theme="1"/>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theme="9" tint="-0.499984740745262"/>
      </left>
      <right style="medium">
        <color theme="9" tint="-0.499984740745262"/>
      </right>
      <top style="medium">
        <color indexed="64"/>
      </top>
      <bottom style="medium">
        <color indexed="64"/>
      </bottom>
      <diagonal/>
    </border>
    <border>
      <left style="medium">
        <color indexed="64"/>
      </left>
      <right style="medium">
        <color theme="1"/>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style="thin">
        <color rgb="FF000000"/>
      </right>
      <top style="thin">
        <color rgb="FF000000"/>
      </top>
      <bottom/>
      <diagonal/>
    </border>
    <border>
      <left style="thin">
        <color rgb="FF000000"/>
      </left>
      <right style="medium">
        <color indexed="64"/>
      </right>
      <top style="thin">
        <color rgb="FF000000"/>
      </top>
      <bottom style="medium">
        <color indexed="64"/>
      </bottom>
      <diagonal/>
    </border>
    <border>
      <left style="thin">
        <color indexed="64"/>
      </left>
      <right style="medium">
        <color rgb="FF000000"/>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medium">
        <color indexed="64"/>
      </right>
      <top/>
      <bottom style="thin">
        <color indexed="64"/>
      </bottom>
      <diagonal/>
    </border>
    <border>
      <left style="medium">
        <color theme="9" tint="-0.499984740745262"/>
      </left>
      <right style="medium">
        <color theme="9" tint="-0.499984740745262"/>
      </right>
      <top style="medium">
        <color indexed="64"/>
      </top>
      <bottom style="thin">
        <color indexed="64"/>
      </bottom>
      <diagonal/>
    </border>
    <border>
      <left style="medium">
        <color indexed="64"/>
      </left>
      <right style="medium">
        <color theme="1"/>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13">
    <xf numFmtId="0" fontId="0" fillId="0" borderId="0"/>
    <xf numFmtId="9" fontId="1" fillId="0" borderId="0" applyFont="0" applyFill="0" applyBorder="0" applyAlignment="0" applyProtection="0"/>
    <xf numFmtId="0" fontId="2" fillId="0" borderId="0" applyFont="0"/>
    <xf numFmtId="0" fontId="4" fillId="0" borderId="0"/>
    <xf numFmtId="0" fontId="4" fillId="0" borderId="0"/>
    <xf numFmtId="0" fontId="1" fillId="0" borderId="0"/>
    <xf numFmtId="0" fontId="4" fillId="0" borderId="0"/>
    <xf numFmtId="9" fontId="1" fillId="0" borderId="0" applyFont="0" applyFill="0" applyBorder="0" applyAlignment="0" applyProtection="0"/>
    <xf numFmtId="0" fontId="1" fillId="0" borderId="0"/>
    <xf numFmtId="0" fontId="11" fillId="0" borderId="0" applyNumberFormat="0" applyFill="0" applyBorder="0" applyAlignment="0" applyProtection="0"/>
    <xf numFmtId="0" fontId="13" fillId="0" borderId="0"/>
    <xf numFmtId="0" fontId="16" fillId="0" borderId="0"/>
    <xf numFmtId="0" fontId="46" fillId="0" borderId="0"/>
  </cellStyleXfs>
  <cellXfs count="1147">
    <xf numFmtId="0" fontId="0" fillId="0" borderId="0" xfId="0"/>
    <xf numFmtId="0" fontId="0" fillId="0" borderId="0" xfId="0"/>
    <xf numFmtId="3" fontId="8" fillId="0" borderId="17" xfId="8" applyNumberFormat="1" applyFont="1" applyBorder="1" applyAlignment="1">
      <alignment horizontal="right" vertical="center" indent="1"/>
    </xf>
    <xf numFmtId="3" fontId="8" fillId="0" borderId="18" xfId="8" applyNumberFormat="1" applyFont="1" applyBorder="1" applyAlignment="1">
      <alignment horizontal="right" vertical="center" indent="1"/>
    </xf>
    <xf numFmtId="10" fontId="6" fillId="0" borderId="20" xfId="7" applyNumberFormat="1" applyFont="1" applyFill="1" applyBorder="1" applyAlignment="1">
      <alignment horizontal="right" vertical="center" indent="1"/>
    </xf>
    <xf numFmtId="3" fontId="8" fillId="0" borderId="14" xfId="8" applyNumberFormat="1" applyFont="1" applyBorder="1" applyAlignment="1">
      <alignment horizontal="right" vertical="center" indent="1"/>
    </xf>
    <xf numFmtId="3" fontId="8" fillId="0" borderId="21" xfId="8" applyNumberFormat="1" applyFont="1" applyBorder="1" applyAlignment="1">
      <alignment horizontal="right" vertical="center" indent="1"/>
    </xf>
    <xf numFmtId="3" fontId="8" fillId="0" borderId="34" xfId="8" applyNumberFormat="1" applyFont="1" applyBorder="1" applyAlignment="1">
      <alignment horizontal="right" vertical="center" indent="1"/>
    </xf>
    <xf numFmtId="3" fontId="8" fillId="0" borderId="35" xfId="8" applyNumberFormat="1" applyFont="1" applyBorder="1" applyAlignment="1">
      <alignment horizontal="right" vertical="center" indent="1"/>
    </xf>
    <xf numFmtId="10" fontId="7" fillId="0" borderId="1" xfId="8" applyNumberFormat="1" applyFont="1" applyBorder="1" applyAlignment="1">
      <alignment horizontal="right" vertical="center" indent="1"/>
    </xf>
    <xf numFmtId="3" fontId="7" fillId="0" borderId="2" xfId="8" applyNumberFormat="1" applyFont="1" applyBorder="1" applyAlignment="1">
      <alignment horizontal="right" vertical="center" indent="1"/>
    </xf>
    <xf numFmtId="3" fontId="7" fillId="0" borderId="3" xfId="8" applyNumberFormat="1" applyFont="1" applyBorder="1" applyAlignment="1">
      <alignment horizontal="right" vertical="center" indent="1"/>
    </xf>
    <xf numFmtId="3" fontId="0" fillId="0" borderId="0" xfId="0" applyNumberFormat="1"/>
    <xf numFmtId="0" fontId="3" fillId="0" borderId="0" xfId="8" applyFont="1"/>
    <xf numFmtId="0" fontId="8" fillId="0" borderId="0" xfId="8" applyFont="1"/>
    <xf numFmtId="0" fontId="9" fillId="0" borderId="0" xfId="8" applyFont="1"/>
    <xf numFmtId="0" fontId="1" fillId="0" borderId="0" xfId="8"/>
    <xf numFmtId="0" fontId="7" fillId="0" borderId="0" xfId="8" applyFont="1"/>
    <xf numFmtId="3" fontId="7" fillId="0" borderId="0" xfId="8" applyNumberFormat="1" applyFont="1"/>
    <xf numFmtId="0" fontId="1" fillId="0" borderId="0" xfId="8" applyBorder="1"/>
    <xf numFmtId="0" fontId="1" fillId="0" borderId="0" xfId="8" applyAlignment="1">
      <alignment horizontal="right"/>
    </xf>
    <xf numFmtId="3" fontId="8" fillId="0" borderId="19" xfId="8" applyNumberFormat="1" applyFont="1" applyBorder="1" applyAlignment="1">
      <alignment horizontal="right" vertical="center" indent="1"/>
    </xf>
    <xf numFmtId="10" fontId="6" fillId="0" borderId="16" xfId="7" applyNumberFormat="1" applyFont="1" applyFill="1" applyBorder="1" applyAlignment="1">
      <alignment horizontal="right" vertical="center" indent="1"/>
    </xf>
    <xf numFmtId="3" fontId="8" fillId="0" borderId="37" xfId="8" applyNumberFormat="1" applyFont="1" applyBorder="1" applyAlignment="1">
      <alignment horizontal="right" vertical="center" indent="1"/>
    </xf>
    <xf numFmtId="3" fontId="7" fillId="0" borderId="4" xfId="8" applyNumberFormat="1" applyFont="1" applyBorder="1" applyAlignment="1">
      <alignment horizontal="right" vertical="center" indent="1"/>
    </xf>
    <xf numFmtId="10" fontId="7" fillId="0" borderId="41" xfId="8" applyNumberFormat="1" applyFont="1" applyBorder="1" applyAlignment="1">
      <alignment horizontal="right" vertical="center" indent="1"/>
    </xf>
    <xf numFmtId="0" fontId="10" fillId="0" borderId="0" xfId="8" applyFont="1"/>
    <xf numFmtId="3" fontId="1" fillId="0" borderId="0" xfId="8" applyNumberFormat="1"/>
    <xf numFmtId="164" fontId="7" fillId="0" borderId="0" xfId="1" applyNumberFormat="1" applyFont="1"/>
    <xf numFmtId="164" fontId="7" fillId="0" borderId="0" xfId="1" applyNumberFormat="1" applyFont="1" applyBorder="1"/>
    <xf numFmtId="0" fontId="8" fillId="0" borderId="20" xfId="8" applyFont="1" applyBorder="1" applyAlignment="1">
      <alignment horizontal="center" vertical="center"/>
    </xf>
    <xf numFmtId="0" fontId="8" fillId="0" borderId="43" xfId="8" applyFont="1" applyBorder="1" applyAlignment="1">
      <alignment horizontal="center" vertical="center"/>
    </xf>
    <xf numFmtId="10" fontId="6" fillId="0" borderId="44" xfId="7" applyNumberFormat="1" applyFont="1" applyFill="1" applyBorder="1" applyAlignment="1">
      <alignment horizontal="right" vertical="center" indent="1"/>
    </xf>
    <xf numFmtId="0" fontId="8" fillId="0" borderId="12" xfId="5" applyFont="1" applyBorder="1" applyAlignment="1">
      <alignment horizontal="left" vertical="center" wrapText="1" indent="1"/>
    </xf>
    <xf numFmtId="0" fontId="8" fillId="0" borderId="19" xfId="5" applyFont="1" applyBorder="1" applyAlignment="1">
      <alignment horizontal="left" vertical="center" wrapText="1" indent="1"/>
    </xf>
    <xf numFmtId="10" fontId="8" fillId="0" borderId="43" xfId="8" applyNumberFormat="1" applyFont="1" applyBorder="1" applyAlignment="1">
      <alignment horizontal="right" vertical="center" indent="1"/>
    </xf>
    <xf numFmtId="10" fontId="8" fillId="0" borderId="20" xfId="8" applyNumberFormat="1" applyFont="1" applyBorder="1" applyAlignment="1">
      <alignment horizontal="right" vertical="center" indent="1"/>
    </xf>
    <xf numFmtId="0" fontId="8" fillId="0" borderId="33" xfId="8" applyFont="1" applyBorder="1" applyAlignment="1">
      <alignment horizontal="center" vertical="center"/>
    </xf>
    <xf numFmtId="0" fontId="8" fillId="0" borderId="37" xfId="5" applyFont="1" applyBorder="1" applyAlignment="1">
      <alignment horizontal="left" vertical="center" wrapText="1" indent="1"/>
    </xf>
    <xf numFmtId="10" fontId="6" fillId="0" borderId="36" xfId="7" applyNumberFormat="1" applyFont="1" applyFill="1" applyBorder="1" applyAlignment="1">
      <alignment horizontal="right" vertical="center" indent="1"/>
    </xf>
    <xf numFmtId="0" fontId="7" fillId="0" borderId="0" xfId="8" applyFont="1" applyBorder="1" applyAlignment="1"/>
    <xf numFmtId="0" fontId="11" fillId="0" borderId="0" xfId="9"/>
    <xf numFmtId="0" fontId="0" fillId="0" borderId="0" xfId="0" applyAlignment="1">
      <alignment horizontal="right"/>
    </xf>
    <xf numFmtId="0" fontId="0" fillId="0" borderId="0" xfId="0"/>
    <xf numFmtId="0" fontId="5" fillId="6" borderId="0" xfId="10" applyFont="1" applyFill="1" applyAlignment="1">
      <alignment horizontal="left" vertical="center"/>
    </xf>
    <xf numFmtId="0" fontId="5" fillId="6" borderId="0" xfId="10" applyFont="1" applyFill="1" applyAlignment="1">
      <alignment vertical="center"/>
    </xf>
    <xf numFmtId="0" fontId="6" fillId="6" borderId="0" xfId="10" applyFont="1" applyFill="1" applyAlignment="1">
      <alignment vertical="center"/>
    </xf>
    <xf numFmtId="0" fontId="6" fillId="6" borderId="0" xfId="10" applyFont="1" applyFill="1" applyBorder="1" applyAlignment="1">
      <alignment vertical="center"/>
    </xf>
    <xf numFmtId="165" fontId="6" fillId="6" borderId="0" xfId="10" applyNumberFormat="1" applyFont="1" applyFill="1" applyBorder="1" applyAlignment="1">
      <alignment horizontal="right" vertical="center"/>
    </xf>
    <xf numFmtId="165" fontId="6" fillId="6" borderId="0" xfId="10" applyNumberFormat="1" applyFont="1" applyFill="1" applyAlignment="1">
      <alignment vertical="center"/>
    </xf>
    <xf numFmtId="0" fontId="6" fillId="6" borderId="0" xfId="10" applyFont="1" applyFill="1" applyAlignment="1">
      <alignment horizontal="right" vertical="center"/>
    </xf>
    <xf numFmtId="0" fontId="0" fillId="6" borderId="0" xfId="0" applyFill="1"/>
    <xf numFmtId="0" fontId="14" fillId="6" borderId="2" xfId="10" applyFont="1" applyFill="1" applyBorder="1" applyAlignment="1">
      <alignment horizontal="center" vertical="center" wrapText="1"/>
    </xf>
    <xf numFmtId="0" fontId="14" fillId="6" borderId="3" xfId="10" applyFont="1" applyFill="1" applyBorder="1" applyAlignment="1">
      <alignment horizontal="center" vertical="center" wrapText="1"/>
    </xf>
    <xf numFmtId="0" fontId="14" fillId="0" borderId="2" xfId="10" applyFont="1" applyFill="1" applyBorder="1" applyAlignment="1">
      <alignment horizontal="center" vertical="center" wrapText="1"/>
    </xf>
    <xf numFmtId="0" fontId="14" fillId="7" borderId="2" xfId="10" applyFont="1" applyFill="1" applyBorder="1" applyAlignment="1">
      <alignment horizontal="center" vertical="center" wrapText="1"/>
    </xf>
    <xf numFmtId="0" fontId="15" fillId="6" borderId="6" xfId="10" applyFont="1" applyFill="1" applyBorder="1" applyAlignment="1">
      <alignment horizontal="center" vertical="center" wrapText="1"/>
    </xf>
    <xf numFmtId="3" fontId="5" fillId="6" borderId="10" xfId="10" applyNumberFormat="1" applyFont="1" applyFill="1" applyBorder="1" applyAlignment="1">
      <alignment horizontal="center" vertical="center" wrapText="1"/>
    </xf>
    <xf numFmtId="3" fontId="5" fillId="6" borderId="11" xfId="10" applyNumberFormat="1" applyFont="1" applyFill="1" applyBorder="1" applyAlignment="1">
      <alignment horizontal="center" vertical="center" wrapText="1"/>
    </xf>
    <xf numFmtId="3" fontId="5" fillId="0" borderId="10" xfId="10" applyNumberFormat="1" applyFont="1" applyFill="1" applyBorder="1" applyAlignment="1">
      <alignment horizontal="center" vertical="center"/>
    </xf>
    <xf numFmtId="6" fontId="5" fillId="6" borderId="14" xfId="10" applyNumberFormat="1" applyFont="1" applyFill="1" applyBorder="1" applyAlignment="1">
      <alignment horizontal="center" vertical="center"/>
    </xf>
    <xf numFmtId="166" fontId="5" fillId="7" borderId="11" xfId="10" applyNumberFormat="1" applyFont="1" applyFill="1" applyBorder="1" applyAlignment="1">
      <alignment horizontal="center" vertical="center"/>
    </xf>
    <xf numFmtId="10" fontId="6" fillId="6" borderId="15" xfId="10" applyNumberFormat="1" applyFont="1" applyFill="1" applyBorder="1" applyAlignment="1">
      <alignment horizontal="center" vertical="center"/>
    </xf>
    <xf numFmtId="3" fontId="5" fillId="6" borderId="18" xfId="10" applyNumberFormat="1" applyFont="1" applyFill="1" applyBorder="1" applyAlignment="1">
      <alignment horizontal="center" vertical="center" wrapText="1"/>
    </xf>
    <xf numFmtId="3" fontId="5" fillId="0" borderId="17" xfId="10" applyNumberFormat="1" applyFont="1" applyFill="1" applyBorder="1" applyAlignment="1">
      <alignment horizontal="center" vertical="center"/>
    </xf>
    <xf numFmtId="10" fontId="6" fillId="6" borderId="19" xfId="10" applyNumberFormat="1" applyFont="1" applyFill="1" applyBorder="1" applyAlignment="1">
      <alignment horizontal="center" vertical="center"/>
    </xf>
    <xf numFmtId="166" fontId="5" fillId="7" borderId="21" xfId="10" applyNumberFormat="1" applyFont="1" applyFill="1" applyBorder="1" applyAlignment="1">
      <alignment horizontal="center" vertical="center"/>
    </xf>
    <xf numFmtId="3" fontId="5" fillId="6" borderId="23" xfId="10" applyNumberFormat="1" applyFont="1" applyFill="1" applyBorder="1" applyAlignment="1">
      <alignment horizontal="center" vertical="center" wrapText="1"/>
    </xf>
    <xf numFmtId="3" fontId="5" fillId="6" borderId="24" xfId="10" applyNumberFormat="1" applyFont="1" applyFill="1" applyBorder="1" applyAlignment="1">
      <alignment horizontal="center" vertical="center" wrapText="1"/>
    </xf>
    <xf numFmtId="3" fontId="5" fillId="0" borderId="23" xfId="10" applyNumberFormat="1" applyFont="1" applyFill="1" applyBorder="1" applyAlignment="1">
      <alignment horizontal="center" vertical="center"/>
    </xf>
    <xf numFmtId="10" fontId="0" fillId="6" borderId="0" xfId="1" applyNumberFormat="1" applyFont="1" applyFill="1"/>
    <xf numFmtId="8" fontId="5" fillId="6" borderId="23" xfId="10" applyNumberFormat="1" applyFont="1" applyFill="1" applyBorder="1" applyAlignment="1">
      <alignment horizontal="center" vertical="center"/>
    </xf>
    <xf numFmtId="167" fontId="5" fillId="7" borderId="24" xfId="10" applyNumberFormat="1" applyFont="1" applyFill="1" applyBorder="1" applyAlignment="1">
      <alignment horizontal="center" vertical="center"/>
    </xf>
    <xf numFmtId="10" fontId="6" fillId="6" borderId="26" xfId="10" applyNumberFormat="1" applyFont="1" applyFill="1" applyBorder="1" applyAlignment="1">
      <alignment horizontal="center" vertical="center"/>
    </xf>
    <xf numFmtId="0" fontId="5" fillId="6" borderId="0" xfId="10" applyFont="1" applyFill="1" applyBorder="1" applyAlignment="1">
      <alignment horizontal="left" vertical="center" wrapText="1"/>
    </xf>
    <xf numFmtId="1" fontId="5" fillId="0" borderId="1" xfId="10" applyNumberFormat="1" applyFont="1" applyFill="1" applyBorder="1" applyAlignment="1">
      <alignment horizontal="center" vertical="center"/>
    </xf>
    <xf numFmtId="1" fontId="5" fillId="0" borderId="2" xfId="10" applyNumberFormat="1" applyFont="1" applyFill="1" applyBorder="1" applyAlignment="1">
      <alignment horizontal="center" vertical="center"/>
    </xf>
    <xf numFmtId="1" fontId="5" fillId="0" borderId="30" xfId="10" applyNumberFormat="1" applyFont="1" applyFill="1" applyBorder="1" applyAlignment="1">
      <alignment horizontal="center" vertical="center"/>
    </xf>
    <xf numFmtId="1" fontId="18" fillId="0" borderId="29" xfId="10" applyNumberFormat="1" applyFont="1" applyFill="1" applyBorder="1" applyAlignment="1">
      <alignment horizontal="center" vertical="center"/>
    </xf>
    <xf numFmtId="1" fontId="18" fillId="0" borderId="32" xfId="10" applyNumberFormat="1" applyFont="1" applyFill="1" applyBorder="1" applyAlignment="1">
      <alignment horizontal="center" vertical="center"/>
    </xf>
    <xf numFmtId="1" fontId="7" fillId="8" borderId="74" xfId="10" applyNumberFormat="1" applyFont="1" applyFill="1" applyBorder="1" applyAlignment="1">
      <alignment horizontal="center" vertical="center"/>
    </xf>
    <xf numFmtId="1" fontId="18" fillId="0" borderId="31" xfId="10" applyNumberFormat="1" applyFont="1" applyFill="1" applyBorder="1" applyAlignment="1">
      <alignment horizontal="center" vertical="center"/>
    </xf>
    <xf numFmtId="1" fontId="7" fillId="7" borderId="76" xfId="10" applyNumberFormat="1" applyFont="1" applyFill="1" applyBorder="1" applyAlignment="1">
      <alignment horizontal="center" vertical="center"/>
    </xf>
    <xf numFmtId="0" fontId="17" fillId="6" borderId="64" xfId="10" applyFont="1" applyFill="1" applyBorder="1" applyAlignment="1">
      <alignment vertical="center"/>
    </xf>
    <xf numFmtId="0" fontId="17" fillId="6" borderId="0" xfId="10" applyFont="1" applyFill="1" applyBorder="1" applyAlignment="1">
      <alignment vertical="center"/>
    </xf>
    <xf numFmtId="0" fontId="20" fillId="6" borderId="0" xfId="10" applyFont="1" applyFill="1" applyBorder="1" applyAlignment="1">
      <alignment vertical="center"/>
    </xf>
    <xf numFmtId="3" fontId="17" fillId="6" borderId="0" xfId="10" applyNumberFormat="1" applyFont="1" applyFill="1" applyBorder="1" applyAlignment="1">
      <alignment horizontal="center" vertical="center"/>
    </xf>
    <xf numFmtId="10" fontId="21" fillId="6" borderId="0" xfId="10" applyNumberFormat="1" applyFont="1" applyFill="1" applyBorder="1" applyAlignment="1">
      <alignment horizontal="center" vertical="center"/>
    </xf>
    <xf numFmtId="0" fontId="21" fillId="6" borderId="0" xfId="10" applyFont="1" applyFill="1" applyBorder="1" applyAlignment="1">
      <alignment vertical="center"/>
    </xf>
    <xf numFmtId="3" fontId="22" fillId="8" borderId="68" xfId="10" applyNumberFormat="1" applyFont="1" applyFill="1" applyBorder="1" applyAlignment="1">
      <alignment horizontal="center" vertical="center"/>
    </xf>
    <xf numFmtId="0" fontId="21" fillId="6" borderId="78" xfId="10" applyFont="1" applyFill="1" applyBorder="1" applyAlignment="1">
      <alignment vertical="center"/>
    </xf>
    <xf numFmtId="3" fontId="22" fillId="7" borderId="70" xfId="10" applyNumberFormat="1" applyFont="1" applyFill="1" applyBorder="1" applyAlignment="1">
      <alignment horizontal="center" vertical="center"/>
    </xf>
    <xf numFmtId="0" fontId="23" fillId="6" borderId="0" xfId="10" applyFont="1" applyFill="1" applyBorder="1" applyAlignment="1">
      <alignment vertical="center"/>
    </xf>
    <xf numFmtId="3" fontId="24" fillId="8" borderId="68" xfId="10" applyNumberFormat="1" applyFont="1" applyFill="1" applyBorder="1" applyAlignment="1">
      <alignment horizontal="center" vertical="center"/>
    </xf>
    <xf numFmtId="3" fontId="24" fillId="7" borderId="70" xfId="10" applyNumberFormat="1" applyFont="1" applyFill="1" applyBorder="1" applyAlignment="1">
      <alignment horizontal="center" vertical="center"/>
    </xf>
    <xf numFmtId="0" fontId="17" fillId="6" borderId="13" xfId="10" applyFont="1" applyFill="1" applyBorder="1" applyAlignment="1">
      <alignment vertical="center"/>
    </xf>
    <xf numFmtId="0" fontId="17" fillId="6" borderId="10" xfId="10" applyFont="1" applyFill="1" applyBorder="1" applyAlignment="1">
      <alignment vertical="center"/>
    </xf>
    <xf numFmtId="3" fontId="6" fillId="6" borderId="52" xfId="10" applyNumberFormat="1" applyFont="1" applyFill="1" applyBorder="1" applyAlignment="1">
      <alignment vertical="center"/>
    </xf>
    <xf numFmtId="165" fontId="21" fillId="6" borderId="58" xfId="10" applyNumberFormat="1" applyFont="1" applyFill="1" applyBorder="1" applyAlignment="1">
      <alignment vertical="center"/>
    </xf>
    <xf numFmtId="165" fontId="21" fillId="6" borderId="55" xfId="10" applyNumberFormat="1" applyFont="1" applyFill="1" applyBorder="1" applyAlignment="1">
      <alignment vertical="center"/>
    </xf>
    <xf numFmtId="3" fontId="8" fillId="8" borderId="79" xfId="10" applyNumberFormat="1" applyFont="1" applyFill="1" applyBorder="1" applyAlignment="1">
      <alignment vertical="center"/>
    </xf>
    <xf numFmtId="165" fontId="21" fillId="6" borderId="6" xfId="10" applyNumberFormat="1" applyFont="1" applyFill="1" applyBorder="1" applyAlignment="1">
      <alignment vertical="center"/>
    </xf>
    <xf numFmtId="3" fontId="8" fillId="7" borderId="80" xfId="10" applyNumberFormat="1" applyFont="1" applyFill="1" applyBorder="1" applyAlignment="1">
      <alignment vertical="center"/>
    </xf>
    <xf numFmtId="0" fontId="17" fillId="6" borderId="33" xfId="10" applyFont="1" applyFill="1" applyBorder="1" applyAlignment="1">
      <alignment vertical="center"/>
    </xf>
    <xf numFmtId="0" fontId="17" fillId="6" borderId="34" xfId="10" applyFont="1" applyFill="1" applyBorder="1" applyAlignment="1">
      <alignment vertical="center" wrapText="1"/>
    </xf>
    <xf numFmtId="3" fontId="6" fillId="6" borderId="34" xfId="10" applyNumberFormat="1" applyFont="1" applyFill="1" applyBorder="1" applyAlignment="1">
      <alignment vertical="center"/>
    </xf>
    <xf numFmtId="165" fontId="21" fillId="6" borderId="36" xfId="10" applyNumberFormat="1" applyFont="1" applyFill="1" applyBorder="1" applyAlignment="1">
      <alignment vertical="center"/>
    </xf>
    <xf numFmtId="165" fontId="21" fillId="6" borderId="35" xfId="10" applyNumberFormat="1" applyFont="1" applyFill="1" applyBorder="1" applyAlignment="1">
      <alignment horizontal="right" vertical="center"/>
    </xf>
    <xf numFmtId="3" fontId="8" fillId="8" borderId="82" xfId="10" applyNumberFormat="1" applyFont="1" applyFill="1" applyBorder="1" applyAlignment="1">
      <alignment vertical="center"/>
    </xf>
    <xf numFmtId="165" fontId="21" fillId="6" borderId="37" xfId="10" applyNumberFormat="1" applyFont="1" applyFill="1" applyBorder="1" applyAlignment="1">
      <alignment horizontal="right" vertical="center"/>
    </xf>
    <xf numFmtId="3" fontId="8" fillId="7" borderId="83" xfId="10" applyNumberFormat="1" applyFont="1" applyFill="1" applyBorder="1" applyAlignment="1">
      <alignment vertical="center"/>
    </xf>
    <xf numFmtId="0" fontId="17" fillId="6" borderId="22" xfId="10" applyFont="1" applyFill="1" applyBorder="1" applyAlignment="1">
      <alignment vertical="center"/>
    </xf>
    <xf numFmtId="0" fontId="17" fillId="6" borderId="23" xfId="10" applyFont="1" applyFill="1" applyBorder="1" applyAlignment="1">
      <alignment vertical="center" wrapText="1"/>
    </xf>
    <xf numFmtId="3" fontId="6" fillId="6" borderId="23" xfId="10" applyNumberFormat="1" applyFont="1" applyFill="1" applyBorder="1" applyAlignment="1">
      <alignment vertical="center"/>
    </xf>
    <xf numFmtId="165" fontId="21" fillId="6" borderId="85" xfId="10" applyNumberFormat="1" applyFont="1" applyFill="1" applyBorder="1" applyAlignment="1">
      <alignment vertical="center"/>
    </xf>
    <xf numFmtId="165" fontId="21" fillId="6" borderId="24" xfId="10" applyNumberFormat="1" applyFont="1" applyFill="1" applyBorder="1" applyAlignment="1">
      <alignment horizontal="right" vertical="center"/>
    </xf>
    <xf numFmtId="3" fontId="8" fillId="8" borderId="86" xfId="10" applyNumberFormat="1" applyFont="1" applyFill="1" applyBorder="1" applyAlignment="1">
      <alignment vertical="center"/>
    </xf>
    <xf numFmtId="165" fontId="21" fillId="6" borderId="26" xfId="10" applyNumberFormat="1" applyFont="1" applyFill="1" applyBorder="1" applyAlignment="1">
      <alignment horizontal="right" vertical="center"/>
    </xf>
    <xf numFmtId="3" fontId="8" fillId="7" borderId="87" xfId="10" applyNumberFormat="1" applyFont="1" applyFill="1" applyBorder="1" applyAlignment="1">
      <alignment vertical="center"/>
    </xf>
    <xf numFmtId="0" fontId="25" fillId="6" borderId="38" xfId="10" applyFont="1" applyFill="1" applyBorder="1" applyAlignment="1">
      <alignment vertical="center"/>
    </xf>
    <xf numFmtId="0" fontId="25" fillId="6" borderId="30" xfId="10" applyFont="1" applyFill="1" applyBorder="1" applyAlignment="1">
      <alignment vertical="center" wrapText="1"/>
    </xf>
    <xf numFmtId="3" fontId="23" fillId="6" borderId="30" xfId="10" applyNumberFormat="1" applyFont="1" applyFill="1" applyBorder="1" applyAlignment="1">
      <alignment horizontal="right" vertical="center"/>
    </xf>
    <xf numFmtId="165" fontId="26" fillId="6" borderId="29" xfId="10" applyNumberFormat="1" applyFont="1" applyFill="1" applyBorder="1" applyAlignment="1">
      <alignment horizontal="right" vertical="center"/>
    </xf>
    <xf numFmtId="165" fontId="27" fillId="6" borderId="32" xfId="10" applyNumberFormat="1" applyFont="1" applyFill="1" applyBorder="1" applyAlignment="1">
      <alignment horizontal="right" vertical="center"/>
    </xf>
    <xf numFmtId="3" fontId="28" fillId="8" borderId="74" xfId="10" applyNumberFormat="1" applyFont="1" applyFill="1" applyBorder="1" applyAlignment="1">
      <alignment horizontal="right" vertical="center"/>
    </xf>
    <xf numFmtId="165" fontId="27" fillId="6" borderId="31" xfId="10" applyNumberFormat="1" applyFont="1" applyFill="1" applyBorder="1" applyAlignment="1">
      <alignment horizontal="right" vertical="center"/>
    </xf>
    <xf numFmtId="3" fontId="28" fillId="7" borderId="76" xfId="10" applyNumberFormat="1" applyFont="1" applyFill="1" applyBorder="1" applyAlignment="1">
      <alignment horizontal="right" vertical="center"/>
    </xf>
    <xf numFmtId="3" fontId="17" fillId="6" borderId="0" xfId="10" applyNumberFormat="1" applyFont="1" applyFill="1" applyBorder="1" applyAlignment="1">
      <alignment horizontal="right" vertical="center"/>
    </xf>
    <xf numFmtId="0" fontId="21" fillId="6" borderId="0" xfId="3" applyFont="1" applyFill="1" applyBorder="1" applyAlignment="1">
      <alignment horizontal="right"/>
    </xf>
    <xf numFmtId="168" fontId="21" fillId="6" borderId="0" xfId="10" applyNumberFormat="1" applyFont="1" applyFill="1" applyBorder="1" applyAlignment="1">
      <alignment horizontal="right" vertical="center"/>
    </xf>
    <xf numFmtId="3" fontId="22" fillId="8" borderId="68" xfId="10" applyNumberFormat="1" applyFont="1" applyFill="1" applyBorder="1" applyAlignment="1">
      <alignment horizontal="right" vertical="center"/>
    </xf>
    <xf numFmtId="168" fontId="21" fillId="6" borderId="78" xfId="10" applyNumberFormat="1" applyFont="1" applyFill="1" applyBorder="1" applyAlignment="1">
      <alignment horizontal="right" vertical="center"/>
    </xf>
    <xf numFmtId="3" fontId="22" fillId="7" borderId="70" xfId="10" applyNumberFormat="1" applyFont="1" applyFill="1" applyBorder="1" applyAlignment="1">
      <alignment horizontal="right" vertical="center"/>
    </xf>
    <xf numFmtId="165" fontId="21" fillId="6" borderId="0" xfId="10" applyNumberFormat="1" applyFont="1" applyFill="1" applyBorder="1" applyAlignment="1">
      <alignment horizontal="right" vertical="center"/>
    </xf>
    <xf numFmtId="165" fontId="21" fillId="6" borderId="78" xfId="10" applyNumberFormat="1" applyFont="1" applyFill="1" applyBorder="1" applyAlignment="1">
      <alignment horizontal="right" vertical="center"/>
    </xf>
    <xf numFmtId="3" fontId="6" fillId="6" borderId="10" xfId="10" applyNumberFormat="1" applyFont="1" applyFill="1" applyBorder="1" applyAlignment="1">
      <alignment horizontal="right" vertical="center"/>
    </xf>
    <xf numFmtId="165" fontId="21" fillId="6" borderId="9" xfId="10" applyNumberFormat="1" applyFont="1" applyFill="1" applyBorder="1" applyAlignment="1">
      <alignment horizontal="right" vertical="center"/>
    </xf>
    <xf numFmtId="165" fontId="21" fillId="6" borderId="11" xfId="10" applyNumberFormat="1" applyFont="1" applyFill="1" applyBorder="1" applyAlignment="1">
      <alignment horizontal="right" vertical="center"/>
    </xf>
    <xf numFmtId="3" fontId="8" fillId="8" borderId="79" xfId="10" applyNumberFormat="1" applyFont="1" applyFill="1" applyBorder="1" applyAlignment="1">
      <alignment horizontal="right" vertical="center"/>
    </xf>
    <xf numFmtId="165" fontId="21" fillId="6" borderId="39" xfId="10" applyNumberFormat="1" applyFont="1" applyFill="1" applyBorder="1" applyAlignment="1">
      <alignment horizontal="right" vertical="center"/>
    </xf>
    <xf numFmtId="3" fontId="8" fillId="7" borderId="80" xfId="10" applyNumberFormat="1" applyFont="1" applyFill="1" applyBorder="1" applyAlignment="1">
      <alignment horizontal="right" vertical="center"/>
    </xf>
    <xf numFmtId="0" fontId="17" fillId="6" borderId="20" xfId="10" applyFont="1" applyFill="1" applyBorder="1" applyAlignment="1">
      <alignment vertical="center"/>
    </xf>
    <xf numFmtId="0" fontId="17" fillId="6" borderId="14" xfId="10" applyFont="1" applyFill="1" applyBorder="1" applyAlignment="1">
      <alignment vertical="center"/>
    </xf>
    <xf numFmtId="3" fontId="6" fillId="6" borderId="14" xfId="10" applyNumberFormat="1" applyFont="1" applyFill="1" applyBorder="1" applyAlignment="1">
      <alignment horizontal="right" vertical="center"/>
    </xf>
    <xf numFmtId="165" fontId="21" fillId="6" borderId="16" xfId="10" applyNumberFormat="1" applyFont="1" applyFill="1" applyBorder="1" applyAlignment="1">
      <alignment horizontal="right" vertical="center"/>
    </xf>
    <xf numFmtId="165" fontId="21" fillId="6" borderId="21" xfId="10" applyNumberFormat="1" applyFont="1" applyFill="1" applyBorder="1" applyAlignment="1">
      <alignment horizontal="right" vertical="center"/>
    </xf>
    <xf numFmtId="3" fontId="8" fillId="8" borderId="88" xfId="10" applyNumberFormat="1" applyFont="1" applyFill="1" applyBorder="1" applyAlignment="1">
      <alignment horizontal="right" vertical="center"/>
    </xf>
    <xf numFmtId="165" fontId="21" fillId="6" borderId="40" xfId="10" applyNumberFormat="1" applyFont="1" applyFill="1" applyBorder="1" applyAlignment="1">
      <alignment horizontal="right" vertical="center"/>
    </xf>
    <xf numFmtId="3" fontId="8" fillId="7" borderId="89" xfId="10" applyNumberFormat="1" applyFont="1" applyFill="1" applyBorder="1" applyAlignment="1">
      <alignment horizontal="right" vertical="center"/>
    </xf>
    <xf numFmtId="0" fontId="17" fillId="6" borderId="23" xfId="10" applyFont="1" applyFill="1" applyBorder="1" applyAlignment="1">
      <alignment vertical="center"/>
    </xf>
    <xf numFmtId="3" fontId="6" fillId="6" borderId="23" xfId="10" applyNumberFormat="1" applyFont="1" applyFill="1" applyBorder="1" applyAlignment="1">
      <alignment horizontal="right" vertical="center"/>
    </xf>
    <xf numFmtId="165" fontId="21" fillId="6" borderId="85" xfId="10" applyNumberFormat="1" applyFont="1" applyFill="1" applyBorder="1" applyAlignment="1">
      <alignment horizontal="right" vertical="center"/>
    </xf>
    <xf numFmtId="3" fontId="8" fillId="8" borderId="86" xfId="10" applyNumberFormat="1" applyFont="1" applyFill="1" applyBorder="1" applyAlignment="1">
      <alignment horizontal="right" vertical="center"/>
    </xf>
    <xf numFmtId="165" fontId="21" fillId="6" borderId="25" xfId="10" applyNumberFormat="1" applyFont="1" applyFill="1" applyBorder="1" applyAlignment="1">
      <alignment horizontal="right" vertical="center"/>
    </xf>
    <xf numFmtId="3" fontId="8" fillId="7" borderId="87" xfId="10" applyNumberFormat="1" applyFont="1" applyFill="1" applyBorder="1" applyAlignment="1">
      <alignment horizontal="right" vertical="center"/>
    </xf>
    <xf numFmtId="0" fontId="17" fillId="6" borderId="34" xfId="10" applyFont="1" applyFill="1" applyBorder="1" applyAlignment="1">
      <alignment vertical="center"/>
    </xf>
    <xf numFmtId="165" fontId="21" fillId="6" borderId="19" xfId="10" applyNumberFormat="1" applyFont="1" applyFill="1" applyBorder="1" applyAlignment="1">
      <alignment horizontal="right" vertical="center"/>
    </xf>
    <xf numFmtId="0" fontId="17" fillId="6" borderId="18" xfId="10" applyFont="1" applyFill="1" applyBorder="1" applyAlignment="1">
      <alignment vertical="center"/>
    </xf>
    <xf numFmtId="3" fontId="17" fillId="6" borderId="17" xfId="10" applyNumberFormat="1" applyFont="1" applyFill="1" applyBorder="1" applyAlignment="1">
      <alignment horizontal="right" vertical="center"/>
    </xf>
    <xf numFmtId="3" fontId="24" fillId="8" borderId="90" xfId="10" applyNumberFormat="1" applyFont="1" applyFill="1" applyBorder="1" applyAlignment="1">
      <alignment horizontal="right" vertical="center"/>
    </xf>
    <xf numFmtId="3" fontId="24" fillId="7" borderId="91" xfId="10" applyNumberFormat="1" applyFont="1" applyFill="1" applyBorder="1" applyAlignment="1">
      <alignment horizontal="right" vertical="center"/>
    </xf>
    <xf numFmtId="0" fontId="17" fillId="6" borderId="66" xfId="10" applyFont="1" applyFill="1" applyBorder="1" applyAlignment="1">
      <alignment vertical="center"/>
    </xf>
    <xf numFmtId="0" fontId="17" fillId="6" borderId="21" xfId="10" applyFont="1" applyFill="1" applyBorder="1" applyAlignment="1">
      <alignment vertical="center"/>
    </xf>
    <xf numFmtId="0" fontId="17" fillId="6" borderId="54" xfId="10" applyFont="1" applyFill="1" applyBorder="1" applyAlignment="1">
      <alignment vertical="center"/>
    </xf>
    <xf numFmtId="0" fontId="17" fillId="6" borderId="16" xfId="10" applyFont="1" applyFill="1" applyBorder="1" applyAlignment="1">
      <alignment vertical="center"/>
    </xf>
    <xf numFmtId="3" fontId="17" fillId="6" borderId="54" xfId="10" applyNumberFormat="1" applyFont="1" applyFill="1" applyBorder="1" applyAlignment="1">
      <alignment horizontal="right" vertical="center"/>
    </xf>
    <xf numFmtId="3" fontId="17" fillId="6" borderId="14" xfId="10" applyNumberFormat="1" applyFont="1" applyFill="1" applyBorder="1" applyAlignment="1">
      <alignment horizontal="right" vertical="center"/>
    </xf>
    <xf numFmtId="3" fontId="24" fillId="8" borderId="88" xfId="10" applyNumberFormat="1" applyFont="1" applyFill="1" applyBorder="1" applyAlignment="1">
      <alignment horizontal="right" vertical="center"/>
    </xf>
    <xf numFmtId="3" fontId="24" fillId="7" borderId="89" xfId="10" applyNumberFormat="1" applyFont="1" applyFill="1" applyBorder="1" applyAlignment="1">
      <alignment horizontal="right" vertical="center"/>
    </xf>
    <xf numFmtId="0" fontId="17" fillId="6" borderId="17" xfId="10" applyFont="1" applyFill="1" applyBorder="1" applyAlignment="1">
      <alignment vertical="center"/>
    </xf>
    <xf numFmtId="0" fontId="17" fillId="6" borderId="92" xfId="10" applyFont="1" applyFill="1" applyBorder="1" applyAlignment="1">
      <alignment vertical="center"/>
    </xf>
    <xf numFmtId="0" fontId="17" fillId="6" borderId="93" xfId="10" applyFont="1" applyFill="1" applyBorder="1" applyAlignment="1">
      <alignment vertical="center"/>
    </xf>
    <xf numFmtId="0" fontId="17" fillId="6" borderId="1" xfId="10" applyFont="1" applyFill="1" applyBorder="1" applyAlignment="1">
      <alignment vertical="center"/>
    </xf>
    <xf numFmtId="0" fontId="17" fillId="6" borderId="3" xfId="10" applyFont="1" applyFill="1" applyBorder="1" applyAlignment="1">
      <alignment vertical="center"/>
    </xf>
    <xf numFmtId="0" fontId="6" fillId="6" borderId="3" xfId="10" applyFont="1" applyFill="1" applyBorder="1" applyAlignment="1">
      <alignment vertical="center"/>
    </xf>
    <xf numFmtId="0" fontId="6" fillId="6" borderId="77" xfId="10" applyFont="1" applyFill="1" applyBorder="1" applyAlignment="1">
      <alignment vertical="center"/>
    </xf>
    <xf numFmtId="3" fontId="6" fillId="6" borderId="2" xfId="10" applyNumberFormat="1" applyFont="1" applyFill="1" applyBorder="1" applyAlignment="1">
      <alignment horizontal="right" vertical="center"/>
    </xf>
    <xf numFmtId="165" fontId="21" fillId="6" borderId="41" xfId="10" applyNumberFormat="1" applyFont="1" applyFill="1" applyBorder="1" applyAlignment="1">
      <alignment horizontal="right" vertical="center"/>
    </xf>
    <xf numFmtId="165" fontId="21" fillId="6" borderId="3" xfId="10" applyNumberFormat="1" applyFont="1" applyFill="1" applyBorder="1" applyAlignment="1">
      <alignment horizontal="right" vertical="center"/>
    </xf>
    <xf numFmtId="3" fontId="8" fillId="8" borderId="94" xfId="10" applyNumberFormat="1" applyFont="1" applyFill="1" applyBorder="1" applyAlignment="1">
      <alignment horizontal="right" vertical="center"/>
    </xf>
    <xf numFmtId="165" fontId="21" fillId="6" borderId="4" xfId="10" applyNumberFormat="1" applyFont="1" applyFill="1" applyBorder="1" applyAlignment="1">
      <alignment horizontal="right" vertical="center"/>
    </xf>
    <xf numFmtId="3" fontId="8" fillId="7" borderId="95" xfId="10" applyNumberFormat="1" applyFont="1" applyFill="1" applyBorder="1" applyAlignment="1">
      <alignment horizontal="right" vertical="center"/>
    </xf>
    <xf numFmtId="0" fontId="17" fillId="0" borderId="20" xfId="10" applyFont="1" applyFill="1" applyBorder="1" applyAlignment="1">
      <alignment vertical="center"/>
    </xf>
    <xf numFmtId="0" fontId="17" fillId="0" borderId="21" xfId="10" applyFont="1" applyFill="1" applyBorder="1" applyAlignment="1">
      <alignment vertical="center"/>
    </xf>
    <xf numFmtId="3" fontId="6" fillId="6" borderId="54" xfId="10" applyNumberFormat="1" applyFont="1" applyFill="1" applyBorder="1" applyAlignment="1">
      <alignment horizontal="right" vertical="center"/>
    </xf>
    <xf numFmtId="0" fontId="17" fillId="0" borderId="27" xfId="10" applyFont="1" applyFill="1" applyBorder="1" applyAlignment="1">
      <alignment vertical="center"/>
    </xf>
    <xf numFmtId="0" fontId="17" fillId="0" borderId="54" xfId="10" applyFont="1" applyFill="1" applyBorder="1" applyAlignment="1">
      <alignment vertical="center"/>
    </xf>
    <xf numFmtId="0" fontId="17" fillId="0" borderId="16" xfId="10" applyFont="1" applyFill="1" applyBorder="1" applyAlignment="1">
      <alignment vertical="center"/>
    </xf>
    <xf numFmtId="0" fontId="17" fillId="6" borderId="77" xfId="10" applyFont="1" applyFill="1" applyBorder="1" applyAlignment="1">
      <alignment vertical="center"/>
    </xf>
    <xf numFmtId="3" fontId="6" fillId="0" borderId="2" xfId="3" applyNumberFormat="1" applyFont="1" applyFill="1" applyBorder="1" applyAlignment="1">
      <alignment horizontal="right" vertical="center"/>
    </xf>
    <xf numFmtId="3" fontId="8" fillId="8" borderId="94" xfId="3" applyNumberFormat="1" applyFont="1" applyFill="1" applyBorder="1" applyAlignment="1">
      <alignment horizontal="right" vertical="center"/>
    </xf>
    <xf numFmtId="3" fontId="8" fillId="7" borderId="95" xfId="3" applyNumberFormat="1" applyFont="1" applyFill="1" applyBorder="1" applyAlignment="1">
      <alignment horizontal="right" vertical="center"/>
    </xf>
    <xf numFmtId="0" fontId="17" fillId="6" borderId="43" xfId="10" applyFont="1" applyFill="1" applyBorder="1" applyAlignment="1">
      <alignment vertical="center"/>
    </xf>
    <xf numFmtId="0" fontId="17" fillId="0" borderId="93" xfId="10" applyFont="1" applyFill="1" applyBorder="1" applyAlignment="1">
      <alignment vertical="center"/>
    </xf>
    <xf numFmtId="3" fontId="6" fillId="0" borderId="17" xfId="10" applyNumberFormat="1" applyFont="1" applyFill="1" applyBorder="1" applyAlignment="1">
      <alignment horizontal="right" vertical="center"/>
    </xf>
    <xf numFmtId="165" fontId="21" fillId="0" borderId="44" xfId="10" applyNumberFormat="1" applyFont="1" applyFill="1" applyBorder="1" applyAlignment="1">
      <alignment horizontal="right" vertical="center"/>
    </xf>
    <xf numFmtId="165" fontId="21" fillId="0" borderId="18" xfId="10" applyNumberFormat="1" applyFont="1" applyFill="1" applyBorder="1" applyAlignment="1">
      <alignment horizontal="right" vertical="center"/>
    </xf>
    <xf numFmtId="3" fontId="29" fillId="8" borderId="90" xfId="10" applyNumberFormat="1" applyFont="1" applyFill="1" applyBorder="1" applyAlignment="1">
      <alignment horizontal="right" vertical="center"/>
    </xf>
    <xf numFmtId="165" fontId="21" fillId="6" borderId="12" xfId="10" applyNumberFormat="1" applyFont="1" applyFill="1" applyBorder="1" applyAlignment="1">
      <alignment horizontal="right" vertical="center"/>
    </xf>
    <xf numFmtId="3" fontId="29" fillId="7" borderId="91" xfId="10" applyNumberFormat="1" applyFont="1" applyFill="1" applyBorder="1" applyAlignment="1">
      <alignment horizontal="right" vertical="center"/>
    </xf>
    <xf numFmtId="3" fontId="6" fillId="0" borderId="14" xfId="10" applyNumberFormat="1" applyFont="1" applyFill="1" applyBorder="1" applyAlignment="1">
      <alignment horizontal="right" vertical="center"/>
    </xf>
    <xf numFmtId="165" fontId="21" fillId="0" borderId="16" xfId="10" applyNumberFormat="1" applyFont="1" applyFill="1" applyBorder="1" applyAlignment="1">
      <alignment horizontal="right" vertical="center"/>
    </xf>
    <xf numFmtId="165" fontId="21" fillId="0" borderId="21" xfId="10" applyNumberFormat="1" applyFont="1" applyFill="1" applyBorder="1" applyAlignment="1">
      <alignment horizontal="right" vertical="center"/>
    </xf>
    <xf numFmtId="3" fontId="8" fillId="8" borderId="90" xfId="10" applyNumberFormat="1" applyFont="1" applyFill="1" applyBorder="1" applyAlignment="1">
      <alignment horizontal="right" vertical="center"/>
    </xf>
    <xf numFmtId="3" fontId="8" fillId="7" borderId="91" xfId="10" applyNumberFormat="1" applyFont="1" applyFill="1" applyBorder="1" applyAlignment="1">
      <alignment horizontal="right" vertical="center"/>
    </xf>
    <xf numFmtId="0" fontId="17" fillId="0" borderId="81" xfId="10" applyFont="1" applyFill="1" applyBorder="1" applyAlignment="1">
      <alignment vertical="center"/>
    </xf>
    <xf numFmtId="0" fontId="17" fillId="0" borderId="21" xfId="10" applyFont="1" applyFill="1" applyBorder="1" applyAlignment="1">
      <alignment horizontal="left" vertical="center"/>
    </xf>
    <xf numFmtId="0" fontId="17" fillId="0" borderId="54" xfId="10" applyFont="1" applyFill="1" applyBorder="1" applyAlignment="1">
      <alignment horizontal="left" vertical="center"/>
    </xf>
    <xf numFmtId="0" fontId="17" fillId="0" borderId="16" xfId="10" applyFont="1" applyFill="1" applyBorder="1" applyAlignment="1">
      <alignment horizontal="left" vertical="center"/>
    </xf>
    <xf numFmtId="0" fontId="17" fillId="6" borderId="27" xfId="10" applyFont="1" applyFill="1" applyBorder="1" applyAlignment="1">
      <alignment vertical="center"/>
    </xf>
    <xf numFmtId="0" fontId="17" fillId="6" borderId="63" xfId="10" applyFont="1" applyFill="1" applyBorder="1" applyAlignment="1">
      <alignment vertical="center"/>
    </xf>
    <xf numFmtId="3" fontId="6" fillId="0" borderId="66" xfId="10" applyNumberFormat="1" applyFont="1" applyFill="1" applyBorder="1" applyAlignment="1">
      <alignment horizontal="right" vertical="center"/>
    </xf>
    <xf numFmtId="165" fontId="21" fillId="0" borderId="65" xfId="10" applyNumberFormat="1" applyFont="1" applyFill="1" applyBorder="1" applyAlignment="1">
      <alignment horizontal="right" vertical="center"/>
    </xf>
    <xf numFmtId="165" fontId="21" fillId="0" borderId="63" xfId="10" applyNumberFormat="1" applyFont="1" applyFill="1" applyBorder="1" applyAlignment="1">
      <alignment horizontal="right" vertical="center"/>
    </xf>
    <xf numFmtId="3" fontId="8" fillId="8" borderId="68" xfId="10" applyNumberFormat="1" applyFont="1" applyFill="1" applyBorder="1" applyAlignment="1">
      <alignment horizontal="right" vertical="center"/>
    </xf>
    <xf numFmtId="165" fontId="21" fillId="0" borderId="36" xfId="10" applyNumberFormat="1" applyFont="1" applyFill="1" applyBorder="1" applyAlignment="1">
      <alignment horizontal="right" vertical="center"/>
    </xf>
    <xf numFmtId="3" fontId="8" fillId="7" borderId="70" xfId="10" applyNumberFormat="1" applyFont="1" applyFill="1" applyBorder="1" applyAlignment="1">
      <alignment horizontal="right" vertical="center"/>
    </xf>
    <xf numFmtId="0" fontId="25" fillId="6" borderId="1" xfId="10" applyFont="1" applyFill="1" applyBorder="1" applyAlignment="1">
      <alignment vertical="center"/>
    </xf>
    <xf numFmtId="0" fontId="25" fillId="6" borderId="3" xfId="10" applyFont="1" applyFill="1" applyBorder="1" applyAlignment="1">
      <alignment vertical="center" wrapText="1"/>
    </xf>
    <xf numFmtId="0" fontId="23" fillId="6" borderId="3" xfId="10" applyFont="1" applyFill="1" applyBorder="1" applyAlignment="1">
      <alignment vertical="center"/>
    </xf>
    <xf numFmtId="0" fontId="23" fillId="6" borderId="77" xfId="10" applyFont="1" applyFill="1" applyBorder="1" applyAlignment="1">
      <alignment vertical="center" wrapText="1"/>
    </xf>
    <xf numFmtId="3" fontId="23" fillId="6" borderId="2" xfId="10" applyNumberFormat="1" applyFont="1" applyFill="1" applyBorder="1" applyAlignment="1">
      <alignment horizontal="right" vertical="center"/>
    </xf>
    <xf numFmtId="165" fontId="26" fillId="6" borderId="41" xfId="10" applyNumberFormat="1" applyFont="1" applyFill="1" applyBorder="1" applyAlignment="1">
      <alignment horizontal="right" vertical="center"/>
    </xf>
    <xf numFmtId="165" fontId="27" fillId="6" borderId="3" xfId="10" applyNumberFormat="1" applyFont="1" applyFill="1" applyBorder="1" applyAlignment="1">
      <alignment horizontal="right" vertical="center"/>
    </xf>
    <xf numFmtId="3" fontId="28" fillId="8" borderId="94" xfId="10" applyNumberFormat="1" applyFont="1" applyFill="1" applyBorder="1" applyAlignment="1">
      <alignment horizontal="right" vertical="center"/>
    </xf>
    <xf numFmtId="165" fontId="27" fillId="6" borderId="4" xfId="10" applyNumberFormat="1" applyFont="1" applyFill="1" applyBorder="1" applyAlignment="1">
      <alignment horizontal="right" vertical="center"/>
    </xf>
    <xf numFmtId="3" fontId="28" fillId="7" borderId="95" xfId="10" applyNumberFormat="1" applyFont="1" applyFill="1" applyBorder="1" applyAlignment="1">
      <alignment horizontal="right" vertical="center"/>
    </xf>
    <xf numFmtId="0" fontId="31" fillId="0" borderId="64" xfId="10" applyFont="1" applyFill="1" applyBorder="1" applyAlignment="1">
      <alignment vertical="center"/>
    </xf>
    <xf numFmtId="0" fontId="31" fillId="0" borderId="0" xfId="10" applyFont="1" applyFill="1" applyBorder="1" applyAlignment="1">
      <alignment vertical="center"/>
    </xf>
    <xf numFmtId="0" fontId="32" fillId="0" borderId="0" xfId="10" applyFont="1" applyFill="1" applyBorder="1" applyAlignment="1">
      <alignment vertical="center"/>
    </xf>
    <xf numFmtId="3" fontId="31" fillId="0" borderId="0" xfId="10" applyNumberFormat="1" applyFont="1" applyFill="1" applyBorder="1" applyAlignment="1">
      <alignment horizontal="right" vertical="center"/>
    </xf>
    <xf numFmtId="165" fontId="31" fillId="0" borderId="0" xfId="10" applyNumberFormat="1" applyFont="1" applyFill="1" applyBorder="1" applyAlignment="1">
      <alignment horizontal="right" vertical="center"/>
    </xf>
    <xf numFmtId="0" fontId="31" fillId="0" borderId="0" xfId="10" applyFont="1" applyFill="1" applyBorder="1" applyAlignment="1">
      <alignment horizontal="right" vertical="center"/>
    </xf>
    <xf numFmtId="3" fontId="31" fillId="0" borderId="68" xfId="10" applyNumberFormat="1" applyFont="1" applyFill="1" applyBorder="1" applyAlignment="1">
      <alignment horizontal="right" vertical="center"/>
    </xf>
    <xf numFmtId="0" fontId="31" fillId="0" borderId="78" xfId="10" applyFont="1" applyFill="1" applyBorder="1" applyAlignment="1">
      <alignment horizontal="right" vertical="center"/>
    </xf>
    <xf numFmtId="3" fontId="31" fillId="0" borderId="70" xfId="10" applyNumberFormat="1" applyFont="1" applyFill="1" applyBorder="1" applyAlignment="1">
      <alignment horizontal="right" vertical="center"/>
    </xf>
    <xf numFmtId="0" fontId="0" fillId="0" borderId="0" xfId="0" applyFill="1"/>
    <xf numFmtId="0" fontId="23" fillId="6" borderId="20" xfId="10" applyFont="1" applyFill="1" applyBorder="1" applyAlignment="1">
      <alignment vertical="center"/>
    </xf>
    <xf numFmtId="0" fontId="23" fillId="6" borderId="14" xfId="10" applyFont="1" applyFill="1" applyBorder="1" applyAlignment="1">
      <alignment vertical="center"/>
    </xf>
    <xf numFmtId="0" fontId="6" fillId="6" borderId="21" xfId="10" applyFont="1" applyFill="1" applyBorder="1" applyAlignment="1">
      <alignment vertical="center"/>
    </xf>
    <xf numFmtId="0" fontId="14" fillId="6" borderId="54" xfId="10" applyFont="1" applyFill="1" applyBorder="1" applyAlignment="1">
      <alignment vertical="center"/>
    </xf>
    <xf numFmtId="165" fontId="26" fillId="6" borderId="16" xfId="10" applyNumberFormat="1" applyFont="1" applyFill="1" applyBorder="1" applyAlignment="1">
      <alignment horizontal="right" vertical="center"/>
    </xf>
    <xf numFmtId="165" fontId="26" fillId="6" borderId="21" xfId="10" applyNumberFormat="1" applyFont="1" applyFill="1" applyBorder="1" applyAlignment="1">
      <alignment horizontal="right" vertical="center"/>
    </xf>
    <xf numFmtId="3" fontId="6" fillId="8" borderId="88" xfId="10" applyNumberFormat="1" applyFont="1" applyFill="1" applyBorder="1" applyAlignment="1">
      <alignment horizontal="right" vertical="center"/>
    </xf>
    <xf numFmtId="165" fontId="26" fillId="6" borderId="19" xfId="10" applyNumberFormat="1" applyFont="1" applyFill="1" applyBorder="1" applyAlignment="1">
      <alignment horizontal="right" vertical="center"/>
    </xf>
    <xf numFmtId="3" fontId="6" fillId="7" borderId="89" xfId="10" applyNumberFormat="1" applyFont="1" applyFill="1" applyBorder="1" applyAlignment="1">
      <alignment horizontal="right" vertical="center"/>
    </xf>
    <xf numFmtId="0" fontId="23" fillId="6" borderId="33" xfId="10" applyFont="1" applyFill="1" applyBorder="1" applyAlignment="1">
      <alignment vertical="center"/>
    </xf>
    <xf numFmtId="0" fontId="23" fillId="6" borderId="34" xfId="10" applyFont="1" applyFill="1" applyBorder="1" applyAlignment="1">
      <alignment vertical="center"/>
    </xf>
    <xf numFmtId="0" fontId="6" fillId="6" borderId="35" xfId="10" applyFont="1" applyFill="1" applyBorder="1" applyAlignment="1">
      <alignment vertical="center"/>
    </xf>
    <xf numFmtId="0" fontId="14" fillId="6" borderId="81" xfId="10" applyFont="1" applyFill="1" applyBorder="1" applyAlignment="1">
      <alignment vertical="center"/>
    </xf>
    <xf numFmtId="3" fontId="6" fillId="6" borderId="34" xfId="10" applyNumberFormat="1" applyFont="1" applyFill="1" applyBorder="1" applyAlignment="1">
      <alignment horizontal="right" vertical="center"/>
    </xf>
    <xf numFmtId="165" fontId="26" fillId="6" borderId="36" xfId="10" applyNumberFormat="1" applyFont="1" applyFill="1" applyBorder="1" applyAlignment="1">
      <alignment horizontal="right" vertical="center"/>
    </xf>
    <xf numFmtId="165" fontId="26" fillId="6" borderId="35" xfId="10" applyNumberFormat="1" applyFont="1" applyFill="1" applyBorder="1" applyAlignment="1">
      <alignment horizontal="right" vertical="center"/>
    </xf>
    <xf numFmtId="3" fontId="6" fillId="8" borderId="82" xfId="10" applyNumberFormat="1" applyFont="1" applyFill="1" applyBorder="1" applyAlignment="1">
      <alignment horizontal="right" vertical="center"/>
    </xf>
    <xf numFmtId="165" fontId="26" fillId="6" borderId="37" xfId="10" applyNumberFormat="1" applyFont="1" applyFill="1" applyBorder="1" applyAlignment="1">
      <alignment horizontal="right" vertical="center"/>
    </xf>
    <xf numFmtId="3" fontId="6" fillId="7" borderId="83" xfId="10" applyNumberFormat="1" applyFont="1" applyFill="1" applyBorder="1" applyAlignment="1">
      <alignment horizontal="right" vertical="center"/>
    </xf>
    <xf numFmtId="0" fontId="14" fillId="6" borderId="1" xfId="10" applyFont="1" applyFill="1" applyBorder="1" applyAlignment="1">
      <alignment vertical="center"/>
    </xf>
    <xf numFmtId="0" fontId="14" fillId="6" borderId="2" xfId="10" applyFont="1" applyFill="1" applyBorder="1" applyAlignment="1">
      <alignment vertical="center"/>
    </xf>
    <xf numFmtId="3" fontId="14" fillId="6" borderId="2" xfId="10" applyNumberFormat="1" applyFont="1" applyFill="1" applyBorder="1" applyAlignment="1">
      <alignment horizontal="right" vertical="center"/>
    </xf>
    <xf numFmtId="3" fontId="34" fillId="9" borderId="94" xfId="10" applyNumberFormat="1" applyFont="1" applyFill="1" applyBorder="1" applyAlignment="1">
      <alignment horizontal="right" vertical="center"/>
    </xf>
    <xf numFmtId="0" fontId="5" fillId="0" borderId="0" xfId="10" applyFont="1" applyFill="1" applyBorder="1" applyAlignment="1">
      <alignment vertical="center"/>
    </xf>
    <xf numFmtId="165" fontId="5" fillId="0" borderId="0" xfId="10" applyNumberFormat="1" applyFont="1" applyFill="1" applyBorder="1" applyAlignment="1">
      <alignment vertical="center"/>
    </xf>
    <xf numFmtId="3" fontId="5" fillId="0" borderId="0" xfId="10" applyNumberFormat="1" applyFont="1" applyFill="1" applyBorder="1" applyAlignment="1">
      <alignment vertical="center"/>
    </xf>
    <xf numFmtId="165" fontId="6" fillId="0" borderId="0" xfId="10" applyNumberFormat="1" applyFont="1" applyFill="1" applyBorder="1" applyAlignment="1">
      <alignment vertical="center"/>
    </xf>
    <xf numFmtId="3" fontId="5" fillId="0" borderId="0" xfId="10" applyNumberFormat="1" applyFont="1" applyFill="1" applyBorder="1" applyAlignment="1">
      <alignment horizontal="right" vertical="center"/>
    </xf>
    <xf numFmtId="0" fontId="6" fillId="0" borderId="0" xfId="10" applyFont="1" applyFill="1" applyAlignment="1">
      <alignment vertical="center"/>
    </xf>
    <xf numFmtId="0" fontId="14" fillId="0" borderId="0" xfId="10" applyFont="1" applyFill="1" applyBorder="1" applyAlignment="1">
      <alignment vertical="center"/>
    </xf>
    <xf numFmtId="165" fontId="5" fillId="0" borderId="14" xfId="10" applyNumberFormat="1" applyFont="1" applyFill="1" applyBorder="1" applyAlignment="1">
      <alignment vertical="center"/>
    </xf>
    <xf numFmtId="3" fontId="5" fillId="0" borderId="14" xfId="10" applyNumberFormat="1" applyFont="1" applyFill="1" applyBorder="1" applyAlignment="1">
      <alignment vertical="center"/>
    </xf>
    <xf numFmtId="165" fontId="6" fillId="0" borderId="14" xfId="10" applyNumberFormat="1" applyFont="1" applyFill="1" applyBorder="1" applyAlignment="1">
      <alignment vertical="center"/>
    </xf>
    <xf numFmtId="3" fontId="5" fillId="0" borderId="14" xfId="10" applyNumberFormat="1" applyFont="1" applyFill="1" applyBorder="1" applyAlignment="1">
      <alignment horizontal="right" vertical="center"/>
    </xf>
    <xf numFmtId="0" fontId="35" fillId="0" borderId="0" xfId="3" applyFont="1" applyFill="1" applyAlignment="1">
      <alignment horizontal="right" vertical="center"/>
    </xf>
    <xf numFmtId="0" fontId="36" fillId="0" borderId="0" xfId="5" applyFont="1" applyAlignment="1">
      <alignment horizontal="left" vertical="center"/>
    </xf>
    <xf numFmtId="0" fontId="37" fillId="0" borderId="0" xfId="5" applyFont="1" applyAlignment="1">
      <alignment horizontal="left" vertical="center"/>
    </xf>
    <xf numFmtId="0" fontId="38" fillId="0" borderId="0" xfId="5" applyFont="1" applyAlignment="1">
      <alignment horizontal="center" vertical="center"/>
    </xf>
    <xf numFmtId="0" fontId="4" fillId="0" borderId="0" xfId="4"/>
    <xf numFmtId="0" fontId="8" fillId="0" borderId="14" xfId="5" applyFont="1" applyBorder="1" applyAlignment="1">
      <alignment horizontal="left" vertical="center" wrapText="1" indent="1"/>
    </xf>
    <xf numFmtId="3" fontId="8" fillId="0" borderId="14" xfId="5" applyNumberFormat="1" applyFont="1" applyBorder="1" applyAlignment="1">
      <alignment horizontal="right" vertical="center" wrapText="1" indent="1"/>
    </xf>
    <xf numFmtId="3" fontId="8" fillId="0" borderId="14" xfId="5" applyNumberFormat="1" applyFont="1" applyBorder="1" applyAlignment="1">
      <alignment horizontal="center" vertical="center" wrapText="1"/>
    </xf>
    <xf numFmtId="0" fontId="8" fillId="0" borderId="0" xfId="5" applyFont="1" applyAlignment="1">
      <alignment vertical="center"/>
    </xf>
    <xf numFmtId="0" fontId="8" fillId="0" borderId="0" xfId="5" applyFont="1" applyBorder="1" applyAlignment="1">
      <alignment horizontal="left" vertical="center" wrapText="1" indent="1"/>
    </xf>
    <xf numFmtId="3" fontId="8" fillId="0" borderId="0" xfId="5" applyNumberFormat="1" applyFont="1" applyBorder="1" applyAlignment="1">
      <alignment horizontal="left" vertical="center" wrapText="1" indent="1"/>
    </xf>
    <xf numFmtId="0" fontId="39" fillId="0" borderId="0" xfId="5" applyFont="1" applyAlignment="1">
      <alignment vertical="center"/>
    </xf>
    <xf numFmtId="3" fontId="39" fillId="0" borderId="0" xfId="5" applyNumberFormat="1" applyFont="1" applyAlignment="1">
      <alignment horizontal="right" vertical="center" indent="1"/>
    </xf>
    <xf numFmtId="0" fontId="5" fillId="0" borderId="1" xfId="5" applyFont="1" applyBorder="1" applyAlignment="1">
      <alignment horizontal="center" vertical="center" wrapText="1"/>
    </xf>
    <xf numFmtId="0" fontId="5" fillId="0" borderId="4" xfId="5" applyFont="1" applyBorder="1" applyAlignment="1">
      <alignment horizontal="center" vertical="center" wrapText="1"/>
    </xf>
    <xf numFmtId="0" fontId="5" fillId="0" borderId="41" xfId="5" applyFont="1" applyBorder="1" applyAlignment="1">
      <alignment horizontal="center" vertical="center" wrapText="1"/>
    </xf>
    <xf numFmtId="3" fontId="7" fillId="0" borderId="4" xfId="5" applyNumberFormat="1" applyFont="1" applyBorder="1" applyAlignment="1">
      <alignment horizontal="center" vertical="center" wrapText="1"/>
    </xf>
    <xf numFmtId="0" fontId="8" fillId="0" borderId="96" xfId="5" applyFont="1" applyBorder="1" applyAlignment="1">
      <alignment horizontal="center" vertical="center" wrapText="1"/>
    </xf>
    <xf numFmtId="0" fontId="8" fillId="0" borderId="97" xfId="5" applyFont="1" applyBorder="1" applyAlignment="1">
      <alignment horizontal="left" vertical="center" wrapText="1" indent="1"/>
    </xf>
    <xf numFmtId="3" fontId="8" fillId="0" borderId="98" xfId="5" applyNumberFormat="1" applyFont="1" applyBorder="1" applyAlignment="1">
      <alignment horizontal="right" vertical="center" wrapText="1" indent="1"/>
    </xf>
    <xf numFmtId="3" fontId="8" fillId="0" borderId="99" xfId="5" applyNumberFormat="1" applyFont="1" applyBorder="1" applyAlignment="1">
      <alignment horizontal="right" vertical="center" wrapText="1" indent="1"/>
    </xf>
    <xf numFmtId="3" fontId="8" fillId="0" borderId="97" xfId="5" applyNumberFormat="1" applyFont="1" applyBorder="1" applyAlignment="1">
      <alignment horizontal="right" vertical="center" wrapText="1" indent="1"/>
    </xf>
    <xf numFmtId="0" fontId="8" fillId="0" borderId="100" xfId="5" applyFont="1" applyBorder="1" applyAlignment="1">
      <alignment horizontal="center" vertical="center" wrapText="1"/>
    </xf>
    <xf numFmtId="0" fontId="8" fillId="0" borderId="101" xfId="5" applyFont="1" applyBorder="1" applyAlignment="1">
      <alignment horizontal="left" vertical="center" wrapText="1" indent="1"/>
    </xf>
    <xf numFmtId="3" fontId="8" fillId="0" borderId="102" xfId="5" applyNumberFormat="1" applyFont="1" applyBorder="1" applyAlignment="1">
      <alignment horizontal="right" vertical="center" wrapText="1" indent="1"/>
    </xf>
    <xf numFmtId="3" fontId="8" fillId="0" borderId="103" xfId="5" applyNumberFormat="1" applyFont="1" applyBorder="1" applyAlignment="1">
      <alignment horizontal="right" vertical="center" wrapText="1" indent="1"/>
    </xf>
    <xf numFmtId="0" fontId="5" fillId="0" borderId="1" xfId="5" applyFont="1" applyBorder="1" applyAlignment="1">
      <alignment vertical="center"/>
    </xf>
    <xf numFmtId="0" fontId="5" fillId="0" borderId="4" xfId="5" applyFont="1" applyBorder="1" applyAlignment="1">
      <alignment horizontal="left" vertical="center" indent="1"/>
    </xf>
    <xf numFmtId="3" fontId="5" fillId="0" borderId="41" xfId="5" applyNumberFormat="1" applyFont="1" applyBorder="1" applyAlignment="1">
      <alignment horizontal="right" vertical="center" indent="1"/>
    </xf>
    <xf numFmtId="3" fontId="7" fillId="0" borderId="104" xfId="5" applyNumberFormat="1" applyFont="1" applyBorder="1" applyAlignment="1">
      <alignment horizontal="right" vertical="center" indent="1"/>
    </xf>
    <xf numFmtId="0" fontId="4" fillId="0" borderId="0" xfId="5" applyFont="1" applyAlignment="1">
      <alignment vertical="center"/>
    </xf>
    <xf numFmtId="0" fontId="4" fillId="0" borderId="0" xfId="0" applyFont="1"/>
    <xf numFmtId="0" fontId="40" fillId="0" borderId="0" xfId="5" applyFont="1" applyAlignment="1">
      <alignment vertical="center"/>
    </xf>
    <xf numFmtId="0" fontId="41" fillId="0" borderId="0" xfId="5" applyFont="1" applyAlignment="1">
      <alignment vertical="center"/>
    </xf>
    <xf numFmtId="0" fontId="42" fillId="0" borderId="0" xfId="5" applyFont="1" applyAlignment="1">
      <alignment vertical="center"/>
    </xf>
    <xf numFmtId="0" fontId="43" fillId="0" borderId="0" xfId="5" applyFont="1" applyAlignment="1">
      <alignment vertical="center"/>
    </xf>
    <xf numFmtId="0" fontId="44" fillId="0" borderId="0" xfId="5" applyFont="1" applyAlignment="1">
      <alignment vertical="center"/>
    </xf>
    <xf numFmtId="3" fontId="39" fillId="0" borderId="14" xfId="5" applyNumberFormat="1" applyFont="1" applyBorder="1" applyAlignment="1">
      <alignment horizontal="right" vertical="center" indent="1"/>
    </xf>
    <xf numFmtId="3" fontId="39" fillId="0" borderId="14" xfId="5" applyNumberFormat="1" applyFont="1" applyFill="1" applyBorder="1" applyAlignment="1">
      <alignment horizontal="right" vertical="center" indent="1"/>
    </xf>
    <xf numFmtId="0" fontId="39" fillId="0" borderId="0" xfId="5" applyFont="1" applyBorder="1" applyAlignment="1">
      <alignment vertical="center"/>
    </xf>
    <xf numFmtId="0" fontId="39" fillId="0" borderId="0" xfId="5" applyFont="1" applyBorder="1" applyAlignment="1">
      <alignment vertical="center" wrapText="1"/>
    </xf>
    <xf numFmtId="0" fontId="39" fillId="0" borderId="0" xfId="5" applyFont="1" applyBorder="1" applyAlignment="1">
      <alignment horizontal="center" vertical="center" wrapText="1"/>
    </xf>
    <xf numFmtId="0" fontId="39" fillId="0" borderId="0" xfId="5" applyFont="1" applyAlignment="1">
      <alignment horizontal="right" vertical="center" indent="1"/>
    </xf>
    <xf numFmtId="0" fontId="39" fillId="0" borderId="13" xfId="5" applyFont="1" applyBorder="1" applyAlignment="1">
      <alignment horizontal="center" vertical="center" wrapText="1"/>
    </xf>
    <xf numFmtId="0" fontId="39" fillId="0" borderId="10" xfId="5" applyFont="1" applyBorder="1" applyAlignment="1">
      <alignment horizontal="left" vertical="center" wrapText="1" indent="1"/>
    </xf>
    <xf numFmtId="3" fontId="39" fillId="0" borderId="10" xfId="5" applyNumberFormat="1" applyFont="1" applyBorder="1" applyAlignment="1">
      <alignment horizontal="right" vertical="center" wrapText="1" indent="1"/>
    </xf>
    <xf numFmtId="3" fontId="39" fillId="0" borderId="15" xfId="5" applyNumberFormat="1" applyFont="1" applyBorder="1" applyAlignment="1">
      <alignment horizontal="right" vertical="center" indent="1"/>
    </xf>
    <xf numFmtId="0" fontId="39" fillId="0" borderId="20" xfId="5" applyFont="1" applyBorder="1" applyAlignment="1">
      <alignment horizontal="center" vertical="center" wrapText="1"/>
    </xf>
    <xf numFmtId="0" fontId="39" fillId="0" borderId="14" xfId="5" applyFont="1" applyBorder="1" applyAlignment="1">
      <alignment horizontal="left" vertical="center" wrapText="1" indent="1"/>
    </xf>
    <xf numFmtId="3" fontId="39" fillId="0" borderId="14" xfId="5" applyNumberFormat="1" applyFont="1" applyBorder="1" applyAlignment="1">
      <alignment horizontal="right" vertical="center" wrapText="1" indent="1"/>
    </xf>
    <xf numFmtId="3" fontId="39" fillId="0" borderId="19" xfId="5" applyNumberFormat="1" applyFont="1" applyBorder="1" applyAlignment="1">
      <alignment horizontal="right" vertical="center" indent="1"/>
    </xf>
    <xf numFmtId="0" fontId="39" fillId="0" borderId="22" xfId="5" applyFont="1" applyBorder="1" applyAlignment="1">
      <alignment horizontal="center" vertical="center" wrapText="1"/>
    </xf>
    <xf numFmtId="0" fontId="39" fillId="0" borderId="23" xfId="5" applyFont="1" applyBorder="1" applyAlignment="1">
      <alignment horizontal="left" vertical="center" wrapText="1" indent="1"/>
    </xf>
    <xf numFmtId="3" fontId="39" fillId="0" borderId="23" xfId="5" applyNumberFormat="1" applyFont="1" applyBorder="1" applyAlignment="1">
      <alignment horizontal="right" vertical="center" wrapText="1" indent="1"/>
    </xf>
    <xf numFmtId="3" fontId="39" fillId="0" borderId="26" xfId="5" applyNumberFormat="1" applyFont="1" applyBorder="1" applyAlignment="1">
      <alignment horizontal="right" vertical="center" indent="1"/>
    </xf>
    <xf numFmtId="3" fontId="45" fillId="0" borderId="30" xfId="5" applyNumberFormat="1" applyFont="1" applyBorder="1" applyAlignment="1">
      <alignment horizontal="right" vertical="center" indent="1"/>
    </xf>
    <xf numFmtId="3" fontId="45" fillId="0" borderId="31" xfId="5" applyNumberFormat="1" applyFont="1" applyBorder="1" applyAlignment="1">
      <alignment horizontal="right" vertical="center" indent="1"/>
    </xf>
    <xf numFmtId="3" fontId="7" fillId="2" borderId="47" xfId="8" applyNumberFormat="1" applyFont="1" applyFill="1" applyBorder="1" applyAlignment="1">
      <alignment horizontal="right" vertical="center" indent="1"/>
    </xf>
    <xf numFmtId="3" fontId="7" fillId="3" borderId="40" xfId="8" applyNumberFormat="1" applyFont="1" applyFill="1" applyBorder="1" applyAlignment="1">
      <alignment horizontal="right" vertical="center" indent="1"/>
    </xf>
    <xf numFmtId="3" fontId="7" fillId="2" borderId="40" xfId="8" applyNumberFormat="1" applyFont="1" applyFill="1" applyBorder="1" applyAlignment="1">
      <alignment horizontal="right" vertical="center" indent="1"/>
    </xf>
    <xf numFmtId="3" fontId="7" fillId="4" borderId="40" xfId="8" applyNumberFormat="1" applyFont="1" applyFill="1" applyBorder="1" applyAlignment="1">
      <alignment horizontal="right" vertical="center" indent="1"/>
    </xf>
    <xf numFmtId="3" fontId="7" fillId="5" borderId="40" xfId="8" applyNumberFormat="1" applyFont="1" applyFill="1" applyBorder="1" applyAlignment="1">
      <alignment horizontal="right" vertical="center" indent="1"/>
    </xf>
    <xf numFmtId="3" fontId="7" fillId="5" borderId="48" xfId="8" applyNumberFormat="1" applyFont="1" applyFill="1" applyBorder="1" applyAlignment="1">
      <alignment horizontal="right" vertical="center" indent="1"/>
    </xf>
    <xf numFmtId="3" fontId="8" fillId="0" borderId="13" xfId="8" applyNumberFormat="1" applyFont="1" applyBorder="1" applyAlignment="1">
      <alignment horizontal="right" vertical="center" indent="1"/>
    </xf>
    <xf numFmtId="3" fontId="8" fillId="0" borderId="10" xfId="8" applyNumberFormat="1" applyFont="1" applyBorder="1" applyAlignment="1">
      <alignment horizontal="right" vertical="center" indent="1"/>
    </xf>
    <xf numFmtId="3" fontId="8" fillId="0" borderId="15" xfId="8" applyNumberFormat="1" applyFont="1" applyBorder="1" applyAlignment="1">
      <alignment horizontal="right" vertical="center" indent="1"/>
    </xf>
    <xf numFmtId="3" fontId="8" fillId="0" borderId="20" xfId="8" applyNumberFormat="1" applyFont="1" applyBorder="1" applyAlignment="1">
      <alignment horizontal="right" vertical="center" indent="1"/>
    </xf>
    <xf numFmtId="3" fontId="7" fillId="0" borderId="45" xfId="8" applyNumberFormat="1" applyFont="1" applyBorder="1" applyAlignment="1">
      <alignment horizontal="right" vertical="center" indent="1"/>
    </xf>
    <xf numFmtId="3" fontId="8" fillId="0" borderId="33" xfId="8" applyNumberFormat="1" applyFont="1" applyBorder="1" applyAlignment="1">
      <alignment horizontal="right" vertical="center" indent="1"/>
    </xf>
    <xf numFmtId="3" fontId="7" fillId="0" borderId="1" xfId="8" applyNumberFormat="1" applyFont="1" applyBorder="1" applyAlignment="1">
      <alignment horizontal="right" vertical="center" indent="1"/>
    </xf>
    <xf numFmtId="0" fontId="3" fillId="0" borderId="0" xfId="3" applyFont="1" applyFill="1" applyBorder="1" applyAlignment="1">
      <alignment vertical="center"/>
    </xf>
    <xf numFmtId="9" fontId="12" fillId="11" borderId="42" xfId="0" applyNumberFormat="1" applyFont="1" applyFill="1" applyBorder="1" applyAlignment="1"/>
    <xf numFmtId="9" fontId="12" fillId="11" borderId="77" xfId="0" applyNumberFormat="1" applyFont="1" applyFill="1" applyBorder="1" applyAlignment="1"/>
    <xf numFmtId="9" fontId="12" fillId="11" borderId="45" xfId="0" applyNumberFormat="1" applyFont="1" applyFill="1" applyBorder="1" applyAlignment="1"/>
    <xf numFmtId="10" fontId="12" fillId="11" borderId="42" xfId="0" applyNumberFormat="1" applyFont="1" applyFill="1" applyBorder="1" applyAlignment="1"/>
    <xf numFmtId="10" fontId="12" fillId="11" borderId="45" xfId="0" applyNumberFormat="1" applyFont="1" applyFill="1" applyBorder="1" applyAlignment="1"/>
    <xf numFmtId="9" fontId="12" fillId="11" borderId="8" xfId="0" applyNumberFormat="1" applyFont="1" applyFill="1" applyBorder="1" applyAlignment="1">
      <alignment vertical="center" wrapText="1"/>
    </xf>
    <xf numFmtId="164" fontId="12" fillId="11" borderId="106" xfId="1" applyNumberFormat="1" applyFont="1" applyFill="1" applyBorder="1" applyAlignment="1">
      <alignment vertical="center" wrapText="1"/>
    </xf>
    <xf numFmtId="0" fontId="0" fillId="11" borderId="22" xfId="0" applyFill="1" applyBorder="1" applyAlignment="1">
      <alignment horizontal="center"/>
    </xf>
    <xf numFmtId="0" fontId="0" fillId="11" borderId="84" xfId="0" applyFill="1" applyBorder="1" applyAlignment="1">
      <alignment horizontal="center"/>
    </xf>
    <xf numFmtId="0" fontId="0" fillId="11" borderId="24" xfId="0" applyFill="1" applyBorder="1" applyAlignment="1">
      <alignment horizontal="center"/>
    </xf>
    <xf numFmtId="0" fontId="0" fillId="11" borderId="26" xfId="0" applyFill="1" applyBorder="1" applyAlignment="1">
      <alignment horizontal="center"/>
    </xf>
    <xf numFmtId="0" fontId="0" fillId="11" borderId="22" xfId="0" applyFill="1" applyBorder="1" applyAlignment="1">
      <alignment horizontal="center" vertical="center" wrapText="1"/>
    </xf>
    <xf numFmtId="0" fontId="0" fillId="11" borderId="26" xfId="0" applyFill="1" applyBorder="1" applyAlignment="1">
      <alignment horizontal="center" vertical="center" wrapText="1"/>
    </xf>
    <xf numFmtId="0" fontId="0" fillId="12" borderId="64" xfId="0" applyFill="1" applyBorder="1" applyAlignment="1">
      <alignment horizontal="center" vertical="center"/>
    </xf>
    <xf numFmtId="0" fontId="8" fillId="12" borderId="49" xfId="5" applyFont="1" applyFill="1" applyBorder="1" applyAlignment="1">
      <alignment horizontal="left" vertical="center" wrapText="1" indent="1"/>
    </xf>
    <xf numFmtId="0" fontId="0" fillId="12" borderId="56" xfId="0" applyFill="1" applyBorder="1"/>
    <xf numFmtId="0" fontId="0" fillId="12" borderId="0" xfId="0" applyFill="1" applyBorder="1"/>
    <xf numFmtId="0" fontId="0" fillId="12" borderId="57" xfId="0" applyFill="1" applyBorder="1"/>
    <xf numFmtId="10" fontId="0" fillId="12" borderId="105" xfId="1" applyNumberFormat="1" applyFont="1" applyFill="1" applyBorder="1"/>
    <xf numFmtId="10" fontId="0" fillId="12" borderId="57" xfId="1" applyNumberFormat="1" applyFont="1" applyFill="1" applyBorder="1"/>
    <xf numFmtId="164" fontId="0" fillId="12" borderId="56" xfId="1" applyNumberFormat="1" applyFont="1" applyFill="1" applyBorder="1"/>
    <xf numFmtId="164" fontId="0" fillId="12" borderId="49" xfId="1" applyNumberFormat="1" applyFont="1" applyFill="1" applyBorder="1"/>
    <xf numFmtId="0" fontId="8" fillId="12" borderId="50" xfId="5" applyFont="1" applyFill="1" applyBorder="1" applyAlignment="1">
      <alignment horizontal="left" vertical="center" wrapText="1" indent="1"/>
    </xf>
    <xf numFmtId="10" fontId="0" fillId="12" borderId="78" xfId="1" applyNumberFormat="1" applyFont="1" applyFill="1" applyBorder="1"/>
    <xf numFmtId="0" fontId="0" fillId="12" borderId="64" xfId="0" applyFill="1" applyBorder="1"/>
    <xf numFmtId="10" fontId="0" fillId="12" borderId="0" xfId="1" applyNumberFormat="1" applyFont="1" applyFill="1" applyBorder="1"/>
    <xf numFmtId="164" fontId="0" fillId="12" borderId="0" xfId="1" applyNumberFormat="1" applyFont="1" applyFill="1" applyBorder="1"/>
    <xf numFmtId="164" fontId="0" fillId="12" borderId="50" xfId="1" applyNumberFormat="1" applyFont="1" applyFill="1" applyBorder="1"/>
    <xf numFmtId="0" fontId="0" fillId="12" borderId="71" xfId="0" applyFill="1" applyBorder="1" applyAlignment="1">
      <alignment horizontal="center" vertical="center"/>
    </xf>
    <xf numFmtId="0" fontId="8" fillId="12" borderId="51" xfId="5" applyFont="1" applyFill="1" applyBorder="1" applyAlignment="1">
      <alignment horizontal="left" vertical="center" wrapText="1" indent="1"/>
    </xf>
    <xf numFmtId="0" fontId="0" fillId="12" borderId="71" xfId="0" applyFill="1" applyBorder="1"/>
    <xf numFmtId="0" fontId="0" fillId="12" borderId="72" xfId="0" applyFill="1" applyBorder="1"/>
    <xf numFmtId="10" fontId="0" fillId="12" borderId="109" xfId="1" applyNumberFormat="1" applyFont="1" applyFill="1" applyBorder="1"/>
    <xf numFmtId="0" fontId="12" fillId="12" borderId="77" xfId="0" applyFont="1" applyFill="1" applyBorder="1"/>
    <xf numFmtId="10" fontId="12" fillId="12" borderId="77" xfId="1" applyNumberFormat="1" applyFont="1" applyFill="1" applyBorder="1"/>
    <xf numFmtId="0" fontId="12" fillId="12" borderId="42" xfId="0" applyFont="1" applyFill="1" applyBorder="1"/>
    <xf numFmtId="10" fontId="12" fillId="12" borderId="45" xfId="1" applyNumberFormat="1" applyFont="1" applyFill="1" applyBorder="1"/>
    <xf numFmtId="164" fontId="12" fillId="12" borderId="77" xfId="1" applyNumberFormat="1" applyFont="1" applyFill="1" applyBorder="1"/>
    <xf numFmtId="164" fontId="12" fillId="12" borderId="46" xfId="1" applyNumberFormat="1" applyFont="1" applyFill="1" applyBorder="1"/>
    <xf numFmtId="0" fontId="0" fillId="12" borderId="56" xfId="0" applyFill="1" applyBorder="1" applyAlignment="1">
      <alignment horizontal="center" vertical="center"/>
    </xf>
    <xf numFmtId="3" fontId="0" fillId="12" borderId="57" xfId="0" applyNumberFormat="1" applyFill="1" applyBorder="1"/>
    <xf numFmtId="3" fontId="0" fillId="12" borderId="56" xfId="0" applyNumberFormat="1" applyFill="1" applyBorder="1"/>
    <xf numFmtId="3" fontId="0" fillId="12" borderId="0" xfId="0" applyNumberFormat="1" applyFill="1" applyBorder="1"/>
    <xf numFmtId="3" fontId="0" fillId="12" borderId="64" xfId="0" applyNumberFormat="1" applyFill="1" applyBorder="1"/>
    <xf numFmtId="3" fontId="0" fillId="12" borderId="72" xfId="0" applyNumberFormat="1" applyFill="1" applyBorder="1"/>
    <xf numFmtId="0" fontId="12" fillId="12" borderId="1" xfId="0" applyFont="1" applyFill="1" applyBorder="1" applyAlignment="1">
      <alignment horizontal="center" vertical="center"/>
    </xf>
    <xf numFmtId="0" fontId="12" fillId="12" borderId="46" xfId="0" applyFont="1" applyFill="1" applyBorder="1" applyAlignment="1">
      <alignment horizontal="center"/>
    </xf>
    <xf numFmtId="3" fontId="12" fillId="12" borderId="77" xfId="0" applyNumberFormat="1" applyFont="1" applyFill="1" applyBorder="1"/>
    <xf numFmtId="3" fontId="12" fillId="12" borderId="42" xfId="0" applyNumberFormat="1" applyFont="1" applyFill="1" applyBorder="1"/>
    <xf numFmtId="0" fontId="0" fillId="0" borderId="0" xfId="0" applyFill="1" applyBorder="1"/>
    <xf numFmtId="3" fontId="0" fillId="12" borderId="71" xfId="0" applyNumberFormat="1" applyFill="1" applyBorder="1"/>
    <xf numFmtId="0" fontId="0" fillId="0" borderId="0" xfId="0" applyBorder="1"/>
    <xf numFmtId="9" fontId="12" fillId="11" borderId="106" xfId="0" applyNumberFormat="1" applyFont="1" applyFill="1" applyBorder="1" applyAlignment="1">
      <alignment vertical="center" wrapText="1"/>
    </xf>
    <xf numFmtId="0" fontId="0" fillId="11" borderId="107" xfId="0" applyFill="1" applyBorder="1" applyAlignment="1">
      <alignment horizontal="center"/>
    </xf>
    <xf numFmtId="0" fontId="0" fillId="11" borderId="24" xfId="0" applyFill="1" applyBorder="1" applyAlignment="1">
      <alignment horizontal="center" vertical="center" wrapText="1"/>
    </xf>
    <xf numFmtId="0" fontId="0" fillId="13" borderId="64" xfId="0" applyFill="1" applyBorder="1" applyAlignment="1">
      <alignment horizontal="center" vertical="center"/>
    </xf>
    <xf numFmtId="0" fontId="8" fillId="13" borderId="49" xfId="5" applyFont="1" applyFill="1" applyBorder="1" applyAlignment="1">
      <alignment horizontal="left" vertical="center" wrapText="1" indent="1"/>
    </xf>
    <xf numFmtId="3" fontId="0" fillId="13" borderId="56" xfId="0" applyNumberFormat="1" applyFill="1" applyBorder="1"/>
    <xf numFmtId="10" fontId="0" fillId="13" borderId="105" xfId="1" applyNumberFormat="1" applyFont="1" applyFill="1" applyBorder="1"/>
    <xf numFmtId="10" fontId="0" fillId="13" borderId="57" xfId="1" applyNumberFormat="1" applyFont="1" applyFill="1" applyBorder="1"/>
    <xf numFmtId="164" fontId="0" fillId="13" borderId="49" xfId="1" applyNumberFormat="1" applyFont="1" applyFill="1" applyBorder="1"/>
    <xf numFmtId="0" fontId="0" fillId="13" borderId="71" xfId="0" applyFill="1" applyBorder="1" applyAlignment="1">
      <alignment horizontal="center" vertical="center"/>
    </xf>
    <xf numFmtId="0" fontId="8" fillId="13" borderId="51" xfId="5" applyFont="1" applyFill="1" applyBorder="1" applyAlignment="1">
      <alignment horizontal="left" vertical="center" wrapText="1" indent="1"/>
    </xf>
    <xf numFmtId="3" fontId="0" fillId="13" borderId="64" xfId="0" applyNumberFormat="1" applyFill="1" applyBorder="1"/>
    <xf numFmtId="10" fontId="0" fillId="13" borderId="78" xfId="1" applyNumberFormat="1" applyFont="1" applyFill="1" applyBorder="1"/>
    <xf numFmtId="3" fontId="0" fillId="13" borderId="71" xfId="0" applyNumberFormat="1" applyFill="1" applyBorder="1"/>
    <xf numFmtId="10" fontId="0" fillId="13" borderId="109" xfId="1" applyNumberFormat="1" applyFont="1" applyFill="1" applyBorder="1"/>
    <xf numFmtId="10" fontId="0" fillId="13" borderId="0" xfId="1" applyNumberFormat="1" applyFont="1" applyFill="1" applyBorder="1"/>
    <xf numFmtId="164" fontId="0" fillId="13" borderId="50" xfId="1" applyNumberFormat="1" applyFont="1" applyFill="1" applyBorder="1"/>
    <xf numFmtId="3" fontId="12" fillId="13" borderId="42" xfId="0" applyNumberFormat="1" applyFont="1" applyFill="1" applyBorder="1"/>
    <xf numFmtId="10" fontId="12" fillId="13" borderId="45" xfId="1" applyNumberFormat="1" applyFont="1" applyFill="1" applyBorder="1"/>
    <xf numFmtId="3" fontId="12" fillId="13" borderId="77" xfId="0" applyNumberFormat="1" applyFont="1" applyFill="1" applyBorder="1"/>
    <xf numFmtId="10" fontId="12" fillId="13" borderId="77" xfId="1" applyNumberFormat="1" applyFont="1" applyFill="1" applyBorder="1"/>
    <xf numFmtId="164" fontId="12" fillId="13" borderId="46" xfId="1" applyNumberFormat="1" applyFont="1" applyFill="1" applyBorder="1"/>
    <xf numFmtId="0" fontId="0" fillId="13" borderId="56" xfId="0" applyFill="1" applyBorder="1" applyAlignment="1">
      <alignment horizontal="center" vertical="center"/>
    </xf>
    <xf numFmtId="0" fontId="12" fillId="13" borderId="42" xfId="0" applyFont="1" applyFill="1" applyBorder="1" applyAlignment="1">
      <alignment horizontal="center"/>
    </xf>
    <xf numFmtId="0" fontId="12" fillId="13" borderId="46" xfId="0" applyFont="1" applyFill="1" applyBorder="1" applyAlignment="1">
      <alignment horizontal="center"/>
    </xf>
    <xf numFmtId="0" fontId="0" fillId="0" borderId="64" xfId="0" applyFill="1" applyBorder="1"/>
    <xf numFmtId="10" fontId="0" fillId="0" borderId="0" xfId="1" applyNumberFormat="1" applyFont="1" applyFill="1" applyBorder="1"/>
    <xf numFmtId="0" fontId="12" fillId="0" borderId="64" xfId="0" applyFont="1" applyFill="1" applyBorder="1"/>
    <xf numFmtId="10" fontId="12" fillId="0" borderId="0" xfId="1" applyNumberFormat="1" applyFont="1" applyFill="1" applyBorder="1"/>
    <xf numFmtId="10" fontId="12" fillId="11" borderId="77" xfId="0" applyNumberFormat="1" applyFont="1" applyFill="1" applyBorder="1" applyAlignment="1"/>
    <xf numFmtId="10" fontId="12" fillId="11" borderId="49" xfId="0" applyNumberFormat="1" applyFont="1" applyFill="1" applyBorder="1" applyAlignment="1">
      <alignment vertical="center" wrapText="1"/>
    </xf>
    <xf numFmtId="0" fontId="0" fillId="14" borderId="64" xfId="0" applyFill="1" applyBorder="1" applyAlignment="1">
      <alignment horizontal="center" vertical="center"/>
    </xf>
    <xf numFmtId="0" fontId="8" fillId="14" borderId="49" xfId="5" applyFont="1" applyFill="1" applyBorder="1" applyAlignment="1">
      <alignment horizontal="left" vertical="center" wrapText="1" indent="1"/>
    </xf>
    <xf numFmtId="0" fontId="0" fillId="14" borderId="56" xfId="0" applyFill="1" applyBorder="1"/>
    <xf numFmtId="10" fontId="0" fillId="14" borderId="105" xfId="1" applyNumberFormat="1" applyFont="1" applyFill="1" applyBorder="1"/>
    <xf numFmtId="0" fontId="0" fillId="14" borderId="0" xfId="0" applyFill="1" applyBorder="1"/>
    <xf numFmtId="0" fontId="0" fillId="14" borderId="57" xfId="0" applyFill="1" applyBorder="1"/>
    <xf numFmtId="10" fontId="0" fillId="14" borderId="57" xfId="1" applyNumberFormat="1" applyFont="1" applyFill="1" applyBorder="1"/>
    <xf numFmtId="164" fontId="0" fillId="14" borderId="56" xfId="1" applyNumberFormat="1" applyFont="1" applyFill="1" applyBorder="1"/>
    <xf numFmtId="164" fontId="0" fillId="14" borderId="49" xfId="1" applyNumberFormat="1" applyFont="1" applyFill="1" applyBorder="1"/>
    <xf numFmtId="0" fontId="8" fillId="14" borderId="50" xfId="5" applyFont="1" applyFill="1" applyBorder="1" applyAlignment="1">
      <alignment horizontal="left" vertical="center" wrapText="1" indent="1"/>
    </xf>
    <xf numFmtId="0" fontId="0" fillId="14" borderId="64" xfId="0" applyFill="1" applyBorder="1"/>
    <xf numFmtId="10" fontId="0" fillId="14" borderId="78" xfId="1" applyNumberFormat="1" applyFont="1" applyFill="1" applyBorder="1"/>
    <xf numFmtId="10" fontId="0" fillId="14" borderId="0" xfId="1" applyNumberFormat="1" applyFont="1" applyFill="1" applyBorder="1"/>
    <xf numFmtId="164" fontId="0" fillId="14" borderId="0" xfId="1" applyNumberFormat="1" applyFont="1" applyFill="1" applyBorder="1"/>
    <xf numFmtId="164" fontId="0" fillId="14" borderId="50" xfId="1" applyNumberFormat="1" applyFont="1" applyFill="1" applyBorder="1"/>
    <xf numFmtId="0" fontId="0" fillId="14" borderId="71" xfId="0" applyFill="1" applyBorder="1" applyAlignment="1">
      <alignment horizontal="center" vertical="center"/>
    </xf>
    <xf numFmtId="0" fontId="8" fillId="14" borderId="51" xfId="5" applyFont="1" applyFill="1" applyBorder="1" applyAlignment="1">
      <alignment horizontal="left" vertical="center" wrapText="1" indent="1"/>
    </xf>
    <xf numFmtId="0" fontId="0" fillId="14" borderId="71" xfId="0" applyFill="1" applyBorder="1"/>
    <xf numFmtId="0" fontId="0" fillId="14" borderId="72" xfId="0" applyFill="1" applyBorder="1"/>
    <xf numFmtId="10" fontId="0" fillId="14" borderId="109" xfId="1" applyNumberFormat="1" applyFont="1" applyFill="1" applyBorder="1"/>
    <xf numFmtId="0" fontId="12" fillId="14" borderId="42" xfId="0" applyFont="1" applyFill="1" applyBorder="1"/>
    <xf numFmtId="10" fontId="12" fillId="14" borderId="45" xfId="1" applyNumberFormat="1" applyFont="1" applyFill="1" applyBorder="1"/>
    <xf numFmtId="0" fontId="12" fillId="14" borderId="77" xfId="0" applyFont="1" applyFill="1" applyBorder="1"/>
    <xf numFmtId="10" fontId="12" fillId="14" borderId="77" xfId="1" applyNumberFormat="1" applyFont="1" applyFill="1" applyBorder="1"/>
    <xf numFmtId="164" fontId="12" fillId="14" borderId="77" xfId="1" applyNumberFormat="1" applyFont="1" applyFill="1" applyBorder="1"/>
    <xf numFmtId="164" fontId="12" fillId="14" borderId="46" xfId="1" applyNumberFormat="1" applyFont="1" applyFill="1" applyBorder="1"/>
    <xf numFmtId="0" fontId="0" fillId="14" borderId="49" xfId="0" applyFill="1" applyBorder="1" applyAlignment="1">
      <alignment horizontal="center" vertical="center"/>
    </xf>
    <xf numFmtId="3" fontId="0" fillId="14" borderId="56" xfId="0" applyNumberFormat="1" applyFill="1" applyBorder="1"/>
    <xf numFmtId="3" fontId="0" fillId="14" borderId="57" xfId="0" applyNumberFormat="1" applyFill="1" applyBorder="1"/>
    <xf numFmtId="0" fontId="0" fillId="14" borderId="50" xfId="0" applyFill="1" applyBorder="1" applyAlignment="1">
      <alignment horizontal="center" vertical="center"/>
    </xf>
    <xf numFmtId="3" fontId="0" fillId="14" borderId="64" xfId="0" applyNumberFormat="1" applyFill="1" applyBorder="1"/>
    <xf numFmtId="3" fontId="0" fillId="14" borderId="0" xfId="0" applyNumberFormat="1" applyFill="1" applyBorder="1"/>
    <xf numFmtId="0" fontId="0" fillId="14" borderId="51" xfId="0" applyFill="1" applyBorder="1" applyAlignment="1">
      <alignment horizontal="center" vertical="center"/>
    </xf>
    <xf numFmtId="3" fontId="0" fillId="14" borderId="71" xfId="0" applyNumberFormat="1" applyFill="1" applyBorder="1"/>
    <xf numFmtId="3" fontId="0" fillId="14" borderId="72" xfId="0" applyNumberFormat="1" applyFill="1" applyBorder="1"/>
    <xf numFmtId="0" fontId="12" fillId="14" borderId="1" xfId="0" applyFont="1" applyFill="1" applyBorder="1" applyAlignment="1">
      <alignment horizontal="center"/>
    </xf>
    <xf numFmtId="0" fontId="12" fillId="14" borderId="46" xfId="0" applyFont="1" applyFill="1" applyBorder="1" applyAlignment="1">
      <alignment horizontal="center"/>
    </xf>
    <xf numFmtId="3" fontId="12" fillId="14" borderId="42" xfId="0" applyNumberFormat="1" applyFont="1" applyFill="1" applyBorder="1"/>
    <xf numFmtId="3" fontId="12" fillId="14" borderId="77" xfId="0" applyNumberFormat="1" applyFont="1" applyFill="1" applyBorder="1"/>
    <xf numFmtId="0" fontId="0" fillId="15" borderId="64" xfId="0" applyFill="1" applyBorder="1" applyAlignment="1">
      <alignment horizontal="center" vertical="center"/>
    </xf>
    <xf numFmtId="0" fontId="8" fillId="15" borderId="49" xfId="5" applyFont="1" applyFill="1" applyBorder="1" applyAlignment="1">
      <alignment horizontal="left" vertical="center" wrapText="1" indent="1"/>
    </xf>
    <xf numFmtId="3" fontId="0" fillId="15" borderId="56" xfId="0" applyNumberFormat="1" applyFill="1" applyBorder="1"/>
    <xf numFmtId="10" fontId="0" fillId="15" borderId="105" xfId="1" applyNumberFormat="1" applyFont="1" applyFill="1" applyBorder="1"/>
    <xf numFmtId="3" fontId="0" fillId="15" borderId="0" xfId="0" applyNumberFormat="1" applyFill="1" applyBorder="1"/>
    <xf numFmtId="3" fontId="0" fillId="15" borderId="57" xfId="0" applyNumberFormat="1" applyFill="1" applyBorder="1"/>
    <xf numFmtId="10" fontId="0" fillId="15" borderId="57" xfId="1" applyNumberFormat="1" applyFont="1" applyFill="1" applyBorder="1"/>
    <xf numFmtId="164" fontId="0" fillId="15" borderId="56" xfId="1" applyNumberFormat="1" applyFont="1" applyFill="1" applyBorder="1"/>
    <xf numFmtId="164" fontId="0" fillId="15" borderId="49" xfId="1" applyNumberFormat="1" applyFont="1" applyFill="1" applyBorder="1"/>
    <xf numFmtId="0" fontId="8" fillId="15" borderId="50" xfId="5" applyFont="1" applyFill="1" applyBorder="1" applyAlignment="1">
      <alignment horizontal="left" vertical="center" wrapText="1" indent="1"/>
    </xf>
    <xf numFmtId="3" fontId="0" fillId="15" borderId="64" xfId="0" applyNumberFormat="1" applyFill="1" applyBorder="1"/>
    <xf numFmtId="10" fontId="0" fillId="15" borderId="78" xfId="1" applyNumberFormat="1" applyFont="1" applyFill="1" applyBorder="1"/>
    <xf numFmtId="10" fontId="0" fillId="15" borderId="0" xfId="1" applyNumberFormat="1" applyFont="1" applyFill="1" applyBorder="1"/>
    <xf numFmtId="164" fontId="0" fillId="15" borderId="0" xfId="1" applyNumberFormat="1" applyFont="1" applyFill="1" applyBorder="1"/>
    <xf numFmtId="164" fontId="0" fillId="15" borderId="50" xfId="1" applyNumberFormat="1" applyFont="1" applyFill="1" applyBorder="1"/>
    <xf numFmtId="0" fontId="0" fillId="15" borderId="71" xfId="0" applyFill="1" applyBorder="1" applyAlignment="1">
      <alignment horizontal="center" vertical="center"/>
    </xf>
    <xf numFmtId="0" fontId="8" fillId="15" borderId="51" xfId="5" applyFont="1" applyFill="1" applyBorder="1" applyAlignment="1">
      <alignment horizontal="left" vertical="center" wrapText="1" indent="1"/>
    </xf>
    <xf numFmtId="3" fontId="0" fillId="15" borderId="71" xfId="0" applyNumberFormat="1" applyFill="1" applyBorder="1"/>
    <xf numFmtId="3" fontId="0" fillId="15" borderId="72" xfId="0" applyNumberFormat="1" applyFill="1" applyBorder="1"/>
    <xf numFmtId="10" fontId="0" fillId="15" borderId="109" xfId="1" applyNumberFormat="1" applyFont="1" applyFill="1" applyBorder="1"/>
    <xf numFmtId="3" fontId="12" fillId="15" borderId="42" xfId="0" applyNumberFormat="1" applyFont="1" applyFill="1" applyBorder="1"/>
    <xf numFmtId="10" fontId="12" fillId="15" borderId="45" xfId="1" applyNumberFormat="1" applyFont="1" applyFill="1" applyBorder="1"/>
    <xf numFmtId="3" fontId="12" fillId="15" borderId="77" xfId="0" applyNumberFormat="1" applyFont="1" applyFill="1" applyBorder="1"/>
    <xf numFmtId="10" fontId="12" fillId="15" borderId="77" xfId="1" applyNumberFormat="1" applyFont="1" applyFill="1" applyBorder="1"/>
    <xf numFmtId="164" fontId="12" fillId="15" borderId="77" xfId="1" applyNumberFormat="1" applyFont="1" applyFill="1" applyBorder="1"/>
    <xf numFmtId="164" fontId="12" fillId="15" borderId="46" xfId="1" applyNumberFormat="1" applyFont="1" applyFill="1" applyBorder="1"/>
    <xf numFmtId="0" fontId="0" fillId="15" borderId="56" xfId="0" applyFill="1" applyBorder="1" applyAlignment="1">
      <alignment horizontal="center" vertical="center"/>
    </xf>
    <xf numFmtId="0" fontId="12" fillId="15" borderId="42" xfId="0" applyFont="1" applyFill="1" applyBorder="1" applyAlignment="1">
      <alignment horizontal="center"/>
    </xf>
    <xf numFmtId="0" fontId="12" fillId="15" borderId="46" xfId="0" applyFont="1" applyFill="1" applyBorder="1" applyAlignment="1">
      <alignment horizontal="center"/>
    </xf>
    <xf numFmtId="3" fontId="0" fillId="0" borderId="0" xfId="0" applyNumberFormat="1" applyFill="1" applyBorder="1"/>
    <xf numFmtId="3" fontId="12" fillId="0" borderId="0" xfId="0" applyNumberFormat="1" applyFont="1" applyFill="1" applyBorder="1"/>
    <xf numFmtId="0" fontId="12" fillId="0" borderId="0" xfId="0" applyFont="1" applyFill="1" applyBorder="1" applyAlignment="1">
      <alignment horizontal="center"/>
    </xf>
    <xf numFmtId="0" fontId="12" fillId="0" borderId="0" xfId="0" applyFont="1" applyFill="1" applyBorder="1"/>
    <xf numFmtId="3" fontId="0" fillId="0" borderId="0" xfId="0" applyNumberFormat="1" applyBorder="1"/>
    <xf numFmtId="3" fontId="8" fillId="0" borderId="0" xfId="8" applyNumberFormat="1" applyFont="1"/>
    <xf numFmtId="0" fontId="3" fillId="0" borderId="0" xfId="5" applyFont="1" applyAlignment="1">
      <alignment vertical="center"/>
    </xf>
    <xf numFmtId="0" fontId="6" fillId="0" borderId="0" xfId="12" applyFont="1" applyAlignment="1">
      <alignment vertical="center"/>
    </xf>
    <xf numFmtId="0" fontId="37" fillId="0" borderId="0" xfId="12" applyFont="1" applyAlignment="1">
      <alignment vertical="center"/>
    </xf>
    <xf numFmtId="0" fontId="45" fillId="0" borderId="57" xfId="12" applyFont="1" applyBorder="1" applyAlignment="1">
      <alignment horizontal="centerContinuous" vertical="center"/>
    </xf>
    <xf numFmtId="0" fontId="45" fillId="0" borderId="58" xfId="12" applyFont="1" applyBorder="1" applyAlignment="1">
      <alignment horizontal="centerContinuous" vertical="center"/>
    </xf>
    <xf numFmtId="0" fontId="45" fillId="0" borderId="85" xfId="12" applyFont="1" applyBorder="1" applyAlignment="1">
      <alignment horizontal="center" vertical="center" wrapText="1"/>
    </xf>
    <xf numFmtId="0" fontId="45" fillId="0" borderId="23" xfId="12" applyFont="1" applyBorder="1" applyAlignment="1">
      <alignment horizontal="center" vertical="center" wrapText="1"/>
    </xf>
    <xf numFmtId="0" fontId="8" fillId="0" borderId="110" xfId="5" applyFont="1" applyBorder="1" applyAlignment="1">
      <alignment horizontal="center" vertical="center" wrapText="1"/>
    </xf>
    <xf numFmtId="0" fontId="6" fillId="0" borderId="12" xfId="12" applyFont="1" applyBorder="1" applyAlignment="1">
      <alignment horizontal="left" vertical="center" indent="1"/>
    </xf>
    <xf numFmtId="3" fontId="6" fillId="0" borderId="44" xfId="12" applyNumberFormat="1" applyFont="1" applyBorder="1" applyAlignment="1">
      <alignment horizontal="right" vertical="center" indent="1"/>
    </xf>
    <xf numFmtId="3" fontId="6" fillId="0" borderId="17" xfId="12" applyNumberFormat="1" applyFont="1" applyBorder="1" applyAlignment="1">
      <alignment horizontal="right" vertical="center" indent="1"/>
    </xf>
    <xf numFmtId="3" fontId="6" fillId="0" borderId="12" xfId="12" applyNumberFormat="1" applyFont="1" applyFill="1" applyBorder="1" applyAlignment="1">
      <alignment horizontal="right" vertical="center" indent="1"/>
    </xf>
    <xf numFmtId="0" fontId="8" fillId="0" borderId="111" xfId="5" applyFont="1" applyBorder="1" applyAlignment="1">
      <alignment horizontal="center" vertical="center" wrapText="1"/>
    </xf>
    <xf numFmtId="0" fontId="6" fillId="0" borderId="19" xfId="12" applyFont="1" applyBorder="1" applyAlignment="1">
      <alignment horizontal="left" vertical="center" indent="1"/>
    </xf>
    <xf numFmtId="0" fontId="8" fillId="0" borderId="112" xfId="5" applyFont="1" applyBorder="1" applyAlignment="1">
      <alignment horizontal="center" vertical="center" wrapText="1"/>
    </xf>
    <xf numFmtId="0" fontId="6" fillId="0" borderId="37" xfId="12" applyFont="1" applyBorder="1" applyAlignment="1">
      <alignment horizontal="left" vertical="center" indent="1"/>
    </xf>
    <xf numFmtId="3" fontId="6" fillId="0" borderId="65" xfId="12" applyNumberFormat="1" applyFont="1" applyBorder="1" applyAlignment="1">
      <alignment horizontal="right" vertical="center" indent="1"/>
    </xf>
    <xf numFmtId="3" fontId="6" fillId="0" borderId="66" xfId="12" applyNumberFormat="1" applyFont="1" applyBorder="1" applyAlignment="1">
      <alignment horizontal="right" vertical="center" indent="1"/>
    </xf>
    <xf numFmtId="0" fontId="6" fillId="0" borderId="71" xfId="12" applyFont="1" applyBorder="1" applyAlignment="1">
      <alignment vertical="center"/>
    </xf>
    <xf numFmtId="0" fontId="5" fillId="0" borderId="4" xfId="12" applyFont="1" applyBorder="1" applyAlignment="1">
      <alignment horizontal="left" vertical="center" indent="1"/>
    </xf>
    <xf numFmtId="3" fontId="5" fillId="0" borderId="41" xfId="12" applyNumberFormat="1" applyFont="1" applyBorder="1" applyAlignment="1">
      <alignment horizontal="right" vertical="center" indent="1"/>
    </xf>
    <xf numFmtId="3" fontId="5" fillId="0" borderId="2" xfId="12" applyNumberFormat="1" applyFont="1" applyBorder="1" applyAlignment="1">
      <alignment horizontal="right" vertical="center" indent="1"/>
    </xf>
    <xf numFmtId="3" fontId="5" fillId="0" borderId="4" xfId="12" applyNumberFormat="1" applyFont="1" applyFill="1" applyBorder="1" applyAlignment="1">
      <alignment horizontal="right" vertical="center" indent="1"/>
    </xf>
    <xf numFmtId="0" fontId="6" fillId="0" borderId="0" xfId="0" applyFont="1" applyAlignment="1">
      <alignment vertical="center"/>
    </xf>
    <xf numFmtId="0" fontId="6" fillId="0" borderId="14" xfId="12" applyFont="1" applyBorder="1" applyAlignment="1">
      <alignment vertical="center"/>
    </xf>
    <xf numFmtId="0" fontId="6" fillId="0" borderId="21" xfId="12" applyFont="1" applyBorder="1" applyAlignment="1">
      <alignment vertical="center"/>
    </xf>
    <xf numFmtId="0" fontId="6" fillId="0" borderId="54" xfId="12" applyFont="1" applyBorder="1" applyAlignment="1">
      <alignment vertical="center"/>
    </xf>
    <xf numFmtId="0" fontId="6" fillId="0" borderId="16" xfId="12" applyFont="1" applyBorder="1" applyAlignment="1">
      <alignment vertical="center"/>
    </xf>
    <xf numFmtId="4" fontId="6" fillId="0" borderId="16" xfId="12" applyNumberFormat="1" applyFont="1" applyBorder="1" applyAlignment="1">
      <alignment horizontal="right" vertical="center" indent="1"/>
    </xf>
    <xf numFmtId="0" fontId="6" fillId="0" borderId="17" xfId="12" applyFont="1" applyBorder="1" applyAlignment="1">
      <alignment vertical="center"/>
    </xf>
    <xf numFmtId="0" fontId="6" fillId="0" borderId="18" xfId="12" applyFont="1" applyBorder="1" applyAlignment="1">
      <alignment vertical="center"/>
    </xf>
    <xf numFmtId="0" fontId="6" fillId="0" borderId="93" xfId="12" applyFont="1" applyBorder="1" applyAlignment="1">
      <alignment vertical="center"/>
    </xf>
    <xf numFmtId="0" fontId="6" fillId="0" borderId="44" xfId="12" applyFont="1" applyBorder="1" applyAlignment="1">
      <alignment vertical="center"/>
    </xf>
    <xf numFmtId="3" fontId="6" fillId="0" borderId="16" xfId="12" applyNumberFormat="1" applyFont="1" applyFill="1" applyBorder="1" applyAlignment="1">
      <alignment horizontal="right" vertical="center" indent="1"/>
    </xf>
    <xf numFmtId="3" fontId="6" fillId="0" borderId="44" xfId="12" applyNumberFormat="1" applyFont="1" applyFill="1" applyBorder="1" applyAlignment="1">
      <alignment horizontal="right" vertical="center" indent="1"/>
    </xf>
    <xf numFmtId="0" fontId="7" fillId="0" borderId="0" xfId="8" applyFont="1" applyAlignment="1">
      <alignment horizontal="right"/>
    </xf>
    <xf numFmtId="0" fontId="8" fillId="0" borderId="13" xfId="8" applyFont="1" applyBorder="1" applyAlignment="1">
      <alignment horizontal="center" vertical="center"/>
    </xf>
    <xf numFmtId="0" fontId="8" fillId="0" borderId="10" xfId="5" applyFont="1" applyBorder="1" applyAlignment="1">
      <alignment horizontal="left" vertical="center" wrapText="1" indent="1"/>
    </xf>
    <xf numFmtId="0" fontId="8" fillId="0" borderId="39" xfId="5" applyFont="1" applyBorder="1" applyAlignment="1">
      <alignment horizontal="left" vertical="center" wrapText="1" indent="1"/>
    </xf>
    <xf numFmtId="3" fontId="8" fillId="0" borderId="13" xfId="5" applyNumberFormat="1" applyFont="1" applyBorder="1" applyAlignment="1">
      <alignment horizontal="right" vertical="center" wrapText="1" indent="1"/>
    </xf>
    <xf numFmtId="10" fontId="8" fillId="0" borderId="39" xfId="5" applyNumberFormat="1" applyFont="1" applyBorder="1" applyAlignment="1">
      <alignment horizontal="right" vertical="center" wrapText="1" indent="1"/>
    </xf>
    <xf numFmtId="166" fontId="8" fillId="0" borderId="13" xfId="5" applyNumberFormat="1" applyFont="1" applyBorder="1" applyAlignment="1">
      <alignment horizontal="right" vertical="center" wrapText="1" indent="1"/>
    </xf>
    <xf numFmtId="4" fontId="8" fillId="0" borderId="9" xfId="5" applyNumberFormat="1" applyFont="1" applyBorder="1" applyAlignment="1">
      <alignment horizontal="right" vertical="center" wrapText="1" indent="1"/>
    </xf>
    <xf numFmtId="3" fontId="8" fillId="0" borderId="10" xfId="1" applyNumberFormat="1" applyFont="1" applyBorder="1" applyAlignment="1">
      <alignment horizontal="right" vertical="center" wrapText="1" indent="1"/>
    </xf>
    <xf numFmtId="10" fontId="8" fillId="0" borderId="39" xfId="1" applyNumberFormat="1" applyFont="1" applyBorder="1" applyAlignment="1">
      <alignment horizontal="right" vertical="center" wrapText="1" indent="1"/>
    </xf>
    <xf numFmtId="3" fontId="8" fillId="0" borderId="13" xfId="1" applyNumberFormat="1" applyFont="1" applyBorder="1" applyAlignment="1">
      <alignment horizontal="right" vertical="center" wrapText="1" indent="1"/>
    </xf>
    <xf numFmtId="10" fontId="8" fillId="0" borderId="13" xfId="1" applyNumberFormat="1" applyFont="1" applyBorder="1" applyAlignment="1">
      <alignment horizontal="right" vertical="center" wrapText="1" indent="1"/>
    </xf>
    <xf numFmtId="3" fontId="8" fillId="0" borderId="39" xfId="1" applyNumberFormat="1" applyFont="1" applyBorder="1" applyAlignment="1">
      <alignment horizontal="right" vertical="center" wrapText="1" indent="1"/>
    </xf>
    <xf numFmtId="0" fontId="8" fillId="0" borderId="40" xfId="5" applyFont="1" applyBorder="1" applyAlignment="1">
      <alignment horizontal="left" vertical="center" wrapText="1" indent="1"/>
    </xf>
    <xf numFmtId="3" fontId="8" fillId="0" borderId="20" xfId="5" applyNumberFormat="1" applyFont="1" applyBorder="1" applyAlignment="1">
      <alignment horizontal="right" vertical="center" wrapText="1" indent="1"/>
    </xf>
    <xf numFmtId="10" fontId="8" fillId="0" borderId="40" xfId="5" applyNumberFormat="1" applyFont="1" applyBorder="1" applyAlignment="1">
      <alignment horizontal="right" vertical="center" wrapText="1" indent="1"/>
    </xf>
    <xf numFmtId="166" fontId="8" fillId="0" borderId="20" xfId="5" applyNumberFormat="1" applyFont="1" applyBorder="1" applyAlignment="1">
      <alignment horizontal="right" vertical="center" wrapText="1" indent="1"/>
    </xf>
    <xf numFmtId="4" fontId="8" fillId="0" borderId="16" xfId="5" applyNumberFormat="1" applyFont="1" applyBorder="1" applyAlignment="1">
      <alignment horizontal="right" vertical="center" wrapText="1" indent="1"/>
    </xf>
    <xf numFmtId="3" fontId="8" fillId="0" borderId="14" xfId="1" applyNumberFormat="1" applyFont="1" applyBorder="1" applyAlignment="1">
      <alignment horizontal="right" vertical="center" wrapText="1" indent="1"/>
    </xf>
    <xf numFmtId="10" fontId="8" fillId="0" borderId="40" xfId="1" applyNumberFormat="1" applyFont="1" applyBorder="1" applyAlignment="1">
      <alignment horizontal="right" vertical="center" wrapText="1" indent="1"/>
    </xf>
    <xf numFmtId="3" fontId="8" fillId="0" borderId="20" xfId="1" applyNumberFormat="1" applyFont="1" applyBorder="1" applyAlignment="1">
      <alignment horizontal="right" vertical="center" wrapText="1" indent="1"/>
    </xf>
    <xf numFmtId="10" fontId="8" fillId="0" borderId="20" xfId="1" applyNumberFormat="1" applyFont="1" applyBorder="1" applyAlignment="1">
      <alignment horizontal="right" vertical="center" wrapText="1" indent="1"/>
    </xf>
    <xf numFmtId="3" fontId="8" fillId="0" borderId="40" xfId="1" applyNumberFormat="1" applyFont="1" applyBorder="1" applyAlignment="1">
      <alignment horizontal="right" vertical="center" wrapText="1" indent="1"/>
    </xf>
    <xf numFmtId="0" fontId="8" fillId="0" borderId="23" xfId="5" applyFont="1" applyBorder="1" applyAlignment="1">
      <alignment horizontal="left" vertical="center" wrapText="1" indent="1"/>
    </xf>
    <xf numFmtId="3" fontId="8" fillId="0" borderId="33" xfId="5" applyNumberFormat="1" applyFont="1" applyBorder="1" applyAlignment="1">
      <alignment horizontal="right" vertical="center" wrapText="1" indent="1"/>
    </xf>
    <xf numFmtId="10" fontId="8" fillId="0" borderId="48" xfId="5" applyNumberFormat="1" applyFont="1" applyBorder="1" applyAlignment="1">
      <alignment horizontal="right" vertical="center" wrapText="1" indent="1"/>
    </xf>
    <xf numFmtId="166" fontId="8" fillId="0" borderId="22" xfId="5" applyNumberFormat="1" applyFont="1" applyBorder="1" applyAlignment="1">
      <alignment horizontal="right" vertical="center" wrapText="1" indent="1"/>
    </xf>
    <xf numFmtId="4" fontId="8" fillId="0" borderId="36" xfId="5" applyNumberFormat="1" applyFont="1" applyBorder="1" applyAlignment="1">
      <alignment horizontal="right" vertical="center" wrapText="1" indent="1"/>
    </xf>
    <xf numFmtId="3" fontId="8" fillId="0" borderId="34" xfId="1" applyNumberFormat="1" applyFont="1" applyBorder="1" applyAlignment="1">
      <alignment horizontal="right" vertical="center" wrapText="1" indent="1"/>
    </xf>
    <xf numFmtId="10" fontId="8" fillId="0" borderId="48" xfId="1" applyNumberFormat="1" applyFont="1" applyBorder="1" applyAlignment="1">
      <alignment horizontal="right" vertical="center" wrapText="1" indent="1"/>
    </xf>
    <xf numFmtId="3" fontId="8" fillId="0" borderId="33" xfId="1" applyNumberFormat="1" applyFont="1" applyBorder="1" applyAlignment="1">
      <alignment horizontal="right" vertical="center" wrapText="1" indent="1"/>
    </xf>
    <xf numFmtId="10" fontId="8" fillId="0" borderId="22" xfId="1" applyNumberFormat="1" applyFont="1" applyBorder="1" applyAlignment="1">
      <alignment horizontal="right" vertical="center" wrapText="1" indent="1"/>
    </xf>
    <xf numFmtId="3" fontId="8" fillId="0" borderId="48" xfId="1" applyNumberFormat="1" applyFont="1" applyBorder="1" applyAlignment="1">
      <alignment horizontal="right" vertical="center" wrapText="1" indent="1"/>
    </xf>
    <xf numFmtId="3" fontId="7" fillId="0" borderId="1" xfId="0" applyNumberFormat="1" applyFont="1" applyBorder="1" applyAlignment="1">
      <alignment horizontal="right" indent="1"/>
    </xf>
    <xf numFmtId="10" fontId="7" fillId="0" borderId="45" xfId="0" applyNumberFormat="1" applyFont="1" applyBorder="1" applyAlignment="1">
      <alignment horizontal="right" indent="1"/>
    </xf>
    <xf numFmtId="166" fontId="7" fillId="0" borderId="42" xfId="0" applyNumberFormat="1" applyFont="1" applyBorder="1" applyAlignment="1">
      <alignment horizontal="right" indent="1"/>
    </xf>
    <xf numFmtId="4" fontId="7" fillId="0" borderId="2" xfId="0" applyNumberFormat="1" applyFont="1" applyBorder="1" applyAlignment="1">
      <alignment horizontal="right" indent="1"/>
    </xf>
    <xf numFmtId="3" fontId="7" fillId="0" borderId="2" xfId="1" applyNumberFormat="1" applyFont="1" applyBorder="1" applyAlignment="1">
      <alignment horizontal="right" indent="1"/>
    </xf>
    <xf numFmtId="10" fontId="7" fillId="0" borderId="45" xfId="1" applyNumberFormat="1" applyFont="1" applyBorder="1" applyAlignment="1">
      <alignment horizontal="right" indent="1"/>
    </xf>
    <xf numFmtId="3" fontId="7" fillId="0" borderId="1" xfId="1" applyNumberFormat="1" applyFont="1" applyBorder="1" applyAlignment="1">
      <alignment horizontal="right" indent="1"/>
    </xf>
    <xf numFmtId="10" fontId="7" fillId="0" borderId="42" xfId="1" applyNumberFormat="1" applyFont="1" applyBorder="1" applyAlignment="1">
      <alignment horizontal="right" indent="1"/>
    </xf>
    <xf numFmtId="3" fontId="7" fillId="0" borderId="4" xfId="1" applyNumberFormat="1" applyFont="1" applyBorder="1" applyAlignment="1">
      <alignment horizontal="right" indent="1"/>
    </xf>
    <xf numFmtId="0" fontId="8" fillId="0" borderId="0" xfId="8" applyFont="1" applyBorder="1" applyAlignment="1">
      <alignment horizontal="left" vertical="center"/>
    </xf>
    <xf numFmtId="0" fontId="7" fillId="0" borderId="0" xfId="8" applyFont="1" applyBorder="1" applyAlignment="1">
      <alignment horizontal="center" vertical="center"/>
    </xf>
    <xf numFmtId="3" fontId="7" fillId="0" borderId="0" xfId="0" applyNumberFormat="1" applyFont="1" applyBorder="1" applyAlignment="1">
      <alignment horizontal="right" indent="1"/>
    </xf>
    <xf numFmtId="10" fontId="7" fillId="0" borderId="0" xfId="0" applyNumberFormat="1" applyFont="1" applyBorder="1" applyAlignment="1">
      <alignment horizontal="right" indent="1"/>
    </xf>
    <xf numFmtId="166" fontId="7" fillId="0" borderId="0" xfId="0" applyNumberFormat="1" applyFont="1" applyBorder="1" applyAlignment="1">
      <alignment horizontal="right" indent="1"/>
    </xf>
    <xf numFmtId="4" fontId="7" fillId="0" borderId="0" xfId="0" applyNumberFormat="1" applyFont="1" applyBorder="1" applyAlignment="1">
      <alignment horizontal="right" indent="1"/>
    </xf>
    <xf numFmtId="3" fontId="7" fillId="0" borderId="0" xfId="1" applyNumberFormat="1" applyFont="1" applyBorder="1" applyAlignment="1">
      <alignment horizontal="right" indent="1"/>
    </xf>
    <xf numFmtId="10" fontId="7" fillId="0" borderId="0" xfId="1" applyNumberFormat="1" applyFont="1" applyBorder="1" applyAlignment="1">
      <alignment horizontal="right" indent="1"/>
    </xf>
    <xf numFmtId="166" fontId="8" fillId="0" borderId="20" xfId="5" applyNumberFormat="1" applyFont="1" applyFill="1" applyBorder="1" applyAlignment="1">
      <alignment horizontal="right" vertical="center" wrapText="1" indent="1"/>
    </xf>
    <xf numFmtId="166" fontId="7" fillId="0" borderId="20" xfId="5" applyNumberFormat="1" applyFont="1" applyBorder="1" applyAlignment="1">
      <alignment horizontal="right" vertical="center" wrapText="1" indent="1"/>
    </xf>
    <xf numFmtId="0" fontId="33" fillId="0" borderId="0" xfId="5" applyFont="1" applyAlignment="1">
      <alignment horizontal="left" vertical="center" wrapText="1"/>
    </xf>
    <xf numFmtId="0" fontId="8" fillId="0" borderId="0" xfId="5" applyFont="1"/>
    <xf numFmtId="0" fontId="8" fillId="0" borderId="21" xfId="5" applyFont="1" applyBorder="1" applyAlignment="1"/>
    <xf numFmtId="0" fontId="8" fillId="0" borderId="54" xfId="5" applyFont="1" applyBorder="1" applyAlignment="1"/>
    <xf numFmtId="0" fontId="8" fillId="0" borderId="16" xfId="5" applyFont="1" applyBorder="1" applyAlignment="1"/>
    <xf numFmtId="3" fontId="8" fillId="0" borderId="14" xfId="5" applyNumberFormat="1" applyFont="1" applyBorder="1" applyAlignment="1">
      <alignment horizontal="right" indent="1"/>
    </xf>
    <xf numFmtId="169" fontId="8" fillId="0" borderId="14" xfId="5" applyNumberFormat="1" applyFont="1" applyBorder="1" applyAlignment="1">
      <alignment horizontal="right" indent="1"/>
    </xf>
    <xf numFmtId="0" fontId="39" fillId="0" borderId="0" xfId="5" applyFont="1" applyBorder="1" applyAlignment="1">
      <alignment horizontal="left"/>
    </xf>
    <xf numFmtId="169" fontId="39" fillId="0" borderId="0" xfId="5" applyNumberFormat="1" applyFont="1" applyBorder="1" applyAlignment="1">
      <alignment horizontal="right"/>
    </xf>
    <xf numFmtId="0" fontId="39" fillId="0" borderId="0" xfId="5" applyFont="1"/>
    <xf numFmtId="0" fontId="39" fillId="0" borderId="0" xfId="5" applyFont="1" applyAlignment="1">
      <alignment horizontal="right" indent="1"/>
    </xf>
    <xf numFmtId="0" fontId="7" fillId="0" borderId="85" xfId="5" applyFont="1" applyFill="1" applyBorder="1" applyAlignment="1">
      <alignment horizontal="center" vertical="center" wrapText="1"/>
    </xf>
    <xf numFmtId="0" fontId="7" fillId="0" borderId="24" xfId="5" applyFont="1" applyFill="1" applyBorder="1" applyAlignment="1">
      <alignment horizontal="center" vertical="center" wrapText="1"/>
    </xf>
    <xf numFmtId="49" fontId="49" fillId="0" borderId="43" xfId="5" applyNumberFormat="1" applyFont="1" applyFill="1" applyBorder="1" applyAlignment="1">
      <alignment horizontal="center" vertical="center"/>
    </xf>
    <xf numFmtId="0" fontId="49" fillId="0" borderId="12" xfId="5" applyFont="1" applyFill="1" applyBorder="1" applyAlignment="1">
      <alignment horizontal="left" vertical="center" indent="1"/>
    </xf>
    <xf numFmtId="3" fontId="6" fillId="0" borderId="44" xfId="6" applyNumberFormat="1" applyFont="1" applyFill="1" applyBorder="1" applyAlignment="1">
      <alignment horizontal="right" vertical="center" indent="1"/>
    </xf>
    <xf numFmtId="3" fontId="6" fillId="0" borderId="18" xfId="6" applyNumberFormat="1" applyFont="1" applyFill="1" applyBorder="1" applyAlignment="1">
      <alignment horizontal="right" vertical="center" indent="1"/>
    </xf>
    <xf numFmtId="3" fontId="7" fillId="0" borderId="113" xfId="5" applyNumberFormat="1" applyFont="1" applyBorder="1" applyAlignment="1">
      <alignment horizontal="right" vertical="center" indent="1"/>
    </xf>
    <xf numFmtId="49" fontId="49" fillId="0" borderId="20" xfId="5" applyNumberFormat="1" applyFont="1" applyFill="1" applyBorder="1" applyAlignment="1">
      <alignment horizontal="center" vertical="center"/>
    </xf>
    <xf numFmtId="0" fontId="49" fillId="0" borderId="19" xfId="5" applyFont="1" applyFill="1" applyBorder="1" applyAlignment="1">
      <alignment horizontal="left" vertical="center" indent="1"/>
    </xf>
    <xf numFmtId="3" fontId="6" fillId="0" borderId="16" xfId="6" applyNumberFormat="1" applyFont="1" applyFill="1" applyBorder="1" applyAlignment="1">
      <alignment horizontal="right" vertical="center" indent="1"/>
    </xf>
    <xf numFmtId="3" fontId="6" fillId="0" borderId="21" xfId="6" applyNumberFormat="1" applyFont="1" applyFill="1" applyBorder="1" applyAlignment="1">
      <alignment horizontal="right" vertical="center" indent="1"/>
    </xf>
    <xf numFmtId="3" fontId="6" fillId="0" borderId="16" xfId="5" applyNumberFormat="1" applyFont="1" applyFill="1" applyBorder="1" applyAlignment="1">
      <alignment horizontal="right" vertical="center" indent="1"/>
    </xf>
    <xf numFmtId="3" fontId="6" fillId="0" borderId="21" xfId="5" applyNumberFormat="1" applyFont="1" applyFill="1" applyBorder="1" applyAlignment="1">
      <alignment horizontal="right" vertical="center" indent="1"/>
    </xf>
    <xf numFmtId="3" fontId="7" fillId="0" borderId="113" xfId="5" quotePrefix="1" applyNumberFormat="1" applyFont="1" applyBorder="1" applyAlignment="1">
      <alignment horizontal="right" vertical="center" indent="1"/>
    </xf>
    <xf numFmtId="49" fontId="49" fillId="0" borderId="33" xfId="5" applyNumberFormat="1" applyFont="1" applyFill="1" applyBorder="1" applyAlignment="1">
      <alignment horizontal="center" vertical="center"/>
    </xf>
    <xf numFmtId="0" fontId="49" fillId="0" borderId="37" xfId="5" applyFont="1" applyFill="1" applyBorder="1" applyAlignment="1">
      <alignment horizontal="left" vertical="center" indent="1"/>
    </xf>
    <xf numFmtId="3" fontId="8" fillId="0" borderId="36" xfId="5" applyNumberFormat="1" applyFont="1" applyFill="1" applyBorder="1" applyAlignment="1">
      <alignment horizontal="right" vertical="center" indent="1"/>
    </xf>
    <xf numFmtId="3" fontId="8" fillId="0" borderId="35" xfId="5" applyNumberFormat="1" applyFont="1" applyFill="1" applyBorder="1" applyAlignment="1">
      <alignment horizontal="right" vertical="center" indent="1"/>
    </xf>
    <xf numFmtId="3" fontId="7" fillId="0" borderId="41" xfId="5" applyNumberFormat="1" applyFont="1" applyFill="1" applyBorder="1" applyAlignment="1">
      <alignment horizontal="right" vertical="center" indent="1"/>
    </xf>
    <xf numFmtId="3" fontId="7" fillId="0" borderId="3" xfId="5" applyNumberFormat="1" applyFont="1" applyFill="1" applyBorder="1" applyAlignment="1">
      <alignment horizontal="right" vertical="center" indent="1"/>
    </xf>
    <xf numFmtId="3" fontId="7" fillId="0" borderId="46" xfId="5" applyNumberFormat="1" applyFont="1" applyBorder="1" applyAlignment="1">
      <alignment horizontal="right" vertical="center" indent="1"/>
    </xf>
    <xf numFmtId="0" fontId="8" fillId="0" borderId="0" xfId="8" applyFont="1" applyAlignment="1">
      <alignment vertical="center"/>
    </xf>
    <xf numFmtId="0" fontId="39" fillId="0" borderId="21" xfId="8" applyFont="1" applyBorder="1" applyAlignment="1">
      <alignment vertical="center"/>
    </xf>
    <xf numFmtId="0" fontId="39" fillId="0" borderId="54" xfId="8" applyFont="1" applyBorder="1" applyAlignment="1">
      <alignment vertical="center"/>
    </xf>
    <xf numFmtId="0" fontId="39" fillId="0" borderId="16" xfId="8" applyFont="1" applyBorder="1" applyAlignment="1">
      <alignment vertical="center"/>
    </xf>
    <xf numFmtId="3" fontId="39" fillId="0" borderId="14" xfId="8" applyNumberFormat="1" applyFont="1" applyBorder="1" applyAlignment="1">
      <alignment horizontal="right" vertical="center" indent="1"/>
    </xf>
    <xf numFmtId="10" fontId="39" fillId="0" borderId="14" xfId="1" applyNumberFormat="1" applyFont="1" applyBorder="1" applyAlignment="1">
      <alignment horizontal="right" vertical="center" indent="1"/>
    </xf>
    <xf numFmtId="0" fontId="39" fillId="0" borderId="0" xfId="8" applyFont="1" applyBorder="1" applyAlignment="1">
      <alignment vertical="center"/>
    </xf>
    <xf numFmtId="0" fontId="50" fillId="0" borderId="0" xfId="8" applyFont="1" applyBorder="1" applyAlignment="1">
      <alignment vertical="center"/>
    </xf>
    <xf numFmtId="168" fontId="39" fillId="0" borderId="0" xfId="8" applyNumberFormat="1" applyFont="1" applyBorder="1" applyAlignment="1">
      <alignment horizontal="right" vertical="center"/>
    </xf>
    <xf numFmtId="0" fontId="39" fillId="0" borderId="0" xfId="8" applyFont="1" applyAlignment="1">
      <alignment vertical="center"/>
    </xf>
    <xf numFmtId="0" fontId="51" fillId="0" borderId="0" xfId="8" applyFont="1" applyAlignment="1">
      <alignment horizontal="center" vertical="center"/>
    </xf>
    <xf numFmtId="0" fontId="39" fillId="0" borderId="0" xfId="8" applyFont="1" applyAlignment="1">
      <alignment horizontal="right" vertical="center"/>
    </xf>
    <xf numFmtId="0" fontId="7" fillId="0" borderId="85" xfId="8" applyFont="1" applyFill="1" applyBorder="1" applyAlignment="1">
      <alignment horizontal="center" vertical="center" wrapText="1"/>
    </xf>
    <xf numFmtId="0" fontId="7" fillId="0" borderId="24" xfId="8" applyFont="1" applyFill="1" applyBorder="1" applyAlignment="1">
      <alignment horizontal="center" vertical="center" wrapText="1"/>
    </xf>
    <xf numFmtId="49" fontId="49" fillId="0" borderId="43" xfId="8" applyNumberFormat="1" applyFont="1" applyFill="1" applyBorder="1" applyAlignment="1">
      <alignment horizontal="center" vertical="center"/>
    </xf>
    <xf numFmtId="0" fontId="49" fillId="0" borderId="12" xfId="8" applyFont="1" applyFill="1" applyBorder="1" applyAlignment="1">
      <alignment horizontal="left" vertical="center" indent="1"/>
    </xf>
    <xf numFmtId="3" fontId="6" fillId="0" borderId="44" xfId="8" applyNumberFormat="1" applyFont="1" applyBorder="1" applyAlignment="1">
      <alignment horizontal="right" vertical="center" indent="1"/>
    </xf>
    <xf numFmtId="3" fontId="6" fillId="0" borderId="18" xfId="8" applyNumberFormat="1" applyFont="1" applyBorder="1" applyAlignment="1">
      <alignment horizontal="right" vertical="center" indent="1"/>
    </xf>
    <xf numFmtId="3" fontId="6" fillId="0" borderId="12" xfId="8" applyNumberFormat="1" applyFont="1" applyBorder="1" applyAlignment="1">
      <alignment horizontal="right" vertical="center" indent="1"/>
    </xf>
    <xf numFmtId="49" fontId="49" fillId="0" borderId="20" xfId="8" applyNumberFormat="1" applyFont="1" applyFill="1" applyBorder="1" applyAlignment="1">
      <alignment horizontal="center" vertical="center"/>
    </xf>
    <xf numFmtId="0" fontId="49" fillId="0" borderId="19" xfId="8" applyFont="1" applyFill="1" applyBorder="1" applyAlignment="1">
      <alignment horizontal="left" vertical="center" indent="1"/>
    </xf>
    <xf numFmtId="3" fontId="6" fillId="0" borderId="16" xfId="8" applyNumberFormat="1" applyFont="1" applyBorder="1" applyAlignment="1">
      <alignment horizontal="right" vertical="center" indent="1"/>
    </xf>
    <xf numFmtId="3" fontId="6" fillId="0" borderId="21" xfId="8" applyNumberFormat="1" applyFont="1" applyBorder="1" applyAlignment="1">
      <alignment horizontal="right" vertical="center" indent="1"/>
    </xf>
    <xf numFmtId="3" fontId="6" fillId="0" borderId="19" xfId="8" applyNumberFormat="1" applyFont="1" applyBorder="1" applyAlignment="1">
      <alignment horizontal="right" vertical="center" indent="1"/>
    </xf>
    <xf numFmtId="49" fontId="49" fillId="0" borderId="33" xfId="8" applyNumberFormat="1" applyFont="1" applyFill="1" applyBorder="1" applyAlignment="1">
      <alignment horizontal="center" vertical="center"/>
    </xf>
    <xf numFmtId="0" fontId="49" fillId="0" borderId="37" xfId="8" applyFont="1" applyFill="1" applyBorder="1" applyAlignment="1">
      <alignment horizontal="left" vertical="center" indent="1"/>
    </xf>
    <xf numFmtId="3" fontId="6" fillId="0" borderId="36" xfId="8" applyNumberFormat="1" applyFont="1" applyBorder="1" applyAlignment="1">
      <alignment horizontal="right" vertical="center" indent="1"/>
    </xf>
    <xf numFmtId="3" fontId="6" fillId="0" borderId="35" xfId="8" applyNumberFormat="1" applyFont="1" applyBorder="1" applyAlignment="1">
      <alignment horizontal="right" vertical="center" indent="1"/>
    </xf>
    <xf numFmtId="3" fontId="6" fillId="0" borderId="37" xfId="8" applyNumberFormat="1" applyFont="1" applyBorder="1" applyAlignment="1">
      <alignment horizontal="right" vertical="center" indent="1"/>
    </xf>
    <xf numFmtId="0" fontId="7" fillId="0" borderId="1" xfId="8" applyFont="1" applyFill="1" applyBorder="1" applyAlignment="1">
      <alignment horizontal="center" vertical="center"/>
    </xf>
    <xf numFmtId="0" fontId="52" fillId="0" borderId="4" xfId="8" applyFont="1" applyFill="1" applyBorder="1" applyAlignment="1">
      <alignment horizontal="left" vertical="center" indent="1"/>
    </xf>
    <xf numFmtId="3" fontId="5" fillId="0" borderId="41" xfId="8" applyNumberFormat="1" applyFont="1" applyFill="1" applyBorder="1" applyAlignment="1">
      <alignment horizontal="right" vertical="center" indent="1"/>
    </xf>
    <xf numFmtId="3" fontId="5" fillId="0" borderId="2" xfId="8" applyNumberFormat="1" applyFont="1" applyFill="1" applyBorder="1" applyAlignment="1">
      <alignment horizontal="right" vertical="center" indent="1"/>
    </xf>
    <xf numFmtId="3" fontId="5" fillId="0" borderId="4" xfId="8" applyNumberFormat="1" applyFont="1" applyFill="1" applyBorder="1" applyAlignment="1">
      <alignment horizontal="right" vertical="center" indent="1"/>
    </xf>
    <xf numFmtId="0" fontId="53" fillId="0" borderId="0" xfId="8" applyFont="1" applyFill="1" applyAlignment="1">
      <alignment vertical="center"/>
    </xf>
    <xf numFmtId="3" fontId="54" fillId="0" borderId="0" xfId="8" applyNumberFormat="1" applyFont="1" applyFill="1" applyAlignment="1">
      <alignment horizontal="right" vertical="center" indent="1"/>
    </xf>
    <xf numFmtId="0" fontId="53" fillId="0" borderId="0" xfId="8" applyFont="1" applyFill="1" applyAlignment="1">
      <alignment horizontal="right" vertical="center" indent="1"/>
    </xf>
    <xf numFmtId="0" fontId="53" fillId="0" borderId="0" xfId="8" applyFont="1" applyAlignment="1">
      <alignment vertical="center"/>
    </xf>
    <xf numFmtId="165" fontId="54" fillId="0" borderId="0" xfId="8" applyNumberFormat="1" applyFont="1" applyAlignment="1">
      <alignment vertical="center"/>
    </xf>
    <xf numFmtId="0" fontId="3" fillId="0" borderId="0" xfId="0" applyFont="1"/>
    <xf numFmtId="0" fontId="48" fillId="0" borderId="0" xfId="0" applyFont="1"/>
    <xf numFmtId="0" fontId="0" fillId="0" borderId="33" xfId="0" applyBorder="1"/>
    <xf numFmtId="9" fontId="12" fillId="16" borderId="35" xfId="0" applyNumberFormat="1" applyFont="1" applyFill="1" applyBorder="1" applyAlignment="1">
      <alignment horizontal="right" indent="1"/>
    </xf>
    <xf numFmtId="0" fontId="12" fillId="0" borderId="33" xfId="0" applyFont="1" applyBorder="1" applyAlignment="1">
      <alignment horizontal="right" indent="1"/>
    </xf>
    <xf numFmtId="9" fontId="12" fillId="16" borderId="37" xfId="0" applyNumberFormat="1" applyFont="1" applyFill="1" applyBorder="1" applyAlignment="1">
      <alignment horizontal="right" indent="1"/>
    </xf>
    <xf numFmtId="0" fontId="12" fillId="0" borderId="36" xfId="0" applyFont="1" applyBorder="1" applyAlignment="1">
      <alignment horizontal="right" indent="1"/>
    </xf>
    <xf numFmtId="9" fontId="12" fillId="16" borderId="22" xfId="0" applyNumberFormat="1" applyFont="1" applyFill="1" applyBorder="1" applyAlignment="1">
      <alignment horizontal="right" indent="1"/>
    </xf>
    <xf numFmtId="3" fontId="12" fillId="0" borderId="26" xfId="0" applyNumberFormat="1" applyFont="1" applyBorder="1" applyAlignment="1">
      <alignment horizontal="right" indent="1"/>
    </xf>
    <xf numFmtId="0" fontId="0" fillId="0" borderId="43" xfId="0" applyBorder="1" applyAlignment="1">
      <alignment horizontal="center" vertical="center"/>
    </xf>
    <xf numFmtId="0" fontId="39" fillId="0" borderId="11" xfId="5" applyFont="1" applyBorder="1" applyAlignment="1">
      <alignment horizontal="left" vertical="center" wrapText="1" indent="1"/>
    </xf>
    <xf numFmtId="0" fontId="0" fillId="0" borderId="13" xfId="0" applyBorder="1"/>
    <xf numFmtId="164" fontId="0" fillId="0" borderId="11" xfId="1" applyNumberFormat="1" applyFont="1" applyBorder="1" applyAlignment="1">
      <alignment horizontal="right" indent="1"/>
    </xf>
    <xf numFmtId="164" fontId="0" fillId="0" borderId="13" xfId="0" applyNumberFormat="1" applyBorder="1" applyAlignment="1">
      <alignment horizontal="right" indent="1"/>
    </xf>
    <xf numFmtId="164" fontId="0" fillId="0" borderId="15" xfId="1" applyNumberFormat="1" applyFont="1" applyBorder="1" applyAlignment="1">
      <alignment horizontal="right" indent="1"/>
    </xf>
    <xf numFmtId="164" fontId="0" fillId="0" borderId="9" xfId="0" applyNumberFormat="1" applyBorder="1" applyAlignment="1">
      <alignment horizontal="right" indent="1"/>
    </xf>
    <xf numFmtId="164" fontId="0" fillId="0" borderId="9" xfId="1" applyNumberFormat="1" applyFont="1" applyBorder="1" applyAlignment="1">
      <alignment horizontal="right" indent="1"/>
    </xf>
    <xf numFmtId="3" fontId="0" fillId="0" borderId="47" xfId="0" applyNumberFormat="1" applyBorder="1" applyAlignment="1">
      <alignment horizontal="right" indent="1"/>
    </xf>
    <xf numFmtId="4" fontId="0" fillId="0" borderId="0" xfId="0" applyNumberFormat="1"/>
    <xf numFmtId="0" fontId="0" fillId="0" borderId="20" xfId="0" applyBorder="1" applyAlignment="1">
      <alignment horizontal="center" vertical="center"/>
    </xf>
    <xf numFmtId="0" fontId="39" fillId="0" borderId="21" xfId="5" applyFont="1" applyBorder="1" applyAlignment="1">
      <alignment horizontal="left" vertical="center" wrapText="1" indent="1"/>
    </xf>
    <xf numFmtId="0" fontId="0" fillId="0" borderId="20" xfId="0" applyBorder="1"/>
    <xf numFmtId="164" fontId="0" fillId="0" borderId="21" xfId="1" applyNumberFormat="1" applyFont="1" applyBorder="1" applyAlignment="1">
      <alignment horizontal="right" indent="1"/>
    </xf>
    <xf numFmtId="164" fontId="0" fillId="0" borderId="20" xfId="0" applyNumberFormat="1" applyBorder="1" applyAlignment="1">
      <alignment horizontal="right" indent="1"/>
    </xf>
    <xf numFmtId="164" fontId="0" fillId="0" borderId="19" xfId="1" applyNumberFormat="1" applyFont="1" applyBorder="1" applyAlignment="1">
      <alignment horizontal="right" indent="1"/>
    </xf>
    <xf numFmtId="164" fontId="0" fillId="0" borderId="16" xfId="0" applyNumberFormat="1" applyBorder="1" applyAlignment="1">
      <alignment horizontal="right" indent="1"/>
    </xf>
    <xf numFmtId="164" fontId="0" fillId="0" borderId="44" xfId="1" applyNumberFormat="1" applyFont="1" applyBorder="1" applyAlignment="1">
      <alignment horizontal="right" indent="1"/>
    </xf>
    <xf numFmtId="3" fontId="0" fillId="0" borderId="19" xfId="0" applyNumberFormat="1" applyBorder="1" applyAlignment="1">
      <alignment horizontal="right" indent="1"/>
    </xf>
    <xf numFmtId="164" fontId="0" fillId="0" borderId="16" xfId="1" applyNumberFormat="1" applyFont="1" applyBorder="1" applyAlignment="1">
      <alignment horizontal="right" indent="1"/>
    </xf>
    <xf numFmtId="0" fontId="0" fillId="0" borderId="20" xfId="0" applyFill="1" applyBorder="1" applyAlignment="1">
      <alignment horizontal="center" vertical="center"/>
    </xf>
    <xf numFmtId="0" fontId="39" fillId="0" borderId="21" xfId="5" applyFont="1" applyFill="1" applyBorder="1" applyAlignment="1">
      <alignment horizontal="left" vertical="center" wrapText="1" indent="1"/>
    </xf>
    <xf numFmtId="0" fontId="0" fillId="0" borderId="20" xfId="0" applyFill="1" applyBorder="1"/>
    <xf numFmtId="164" fontId="0" fillId="0" borderId="21" xfId="1" applyNumberFormat="1" applyFont="1" applyFill="1" applyBorder="1" applyAlignment="1">
      <alignment horizontal="right" indent="1"/>
    </xf>
    <xf numFmtId="164" fontId="0" fillId="0" borderId="20" xfId="0" applyNumberFormat="1" applyFill="1" applyBorder="1" applyAlignment="1">
      <alignment horizontal="right" indent="1"/>
    </xf>
    <xf numFmtId="164" fontId="0" fillId="0" borderId="19" xfId="1" applyNumberFormat="1" applyFont="1" applyFill="1" applyBorder="1" applyAlignment="1">
      <alignment horizontal="right" indent="1"/>
    </xf>
    <xf numFmtId="164" fontId="0" fillId="0" borderId="16" xfId="0" applyNumberFormat="1" applyFill="1" applyBorder="1" applyAlignment="1">
      <alignment horizontal="right" indent="1"/>
    </xf>
    <xf numFmtId="164" fontId="0" fillId="0" borderId="16" xfId="1" applyNumberFormat="1" applyFont="1" applyFill="1" applyBorder="1" applyAlignment="1">
      <alignment horizontal="right" indent="1"/>
    </xf>
    <xf numFmtId="3" fontId="0" fillId="0" borderId="19" xfId="0" applyNumberFormat="1" applyFill="1" applyBorder="1" applyAlignment="1">
      <alignment horizontal="right" indent="1"/>
    </xf>
    <xf numFmtId="0" fontId="0" fillId="0" borderId="33" xfId="0" applyBorder="1" applyAlignment="1">
      <alignment horizontal="center" vertical="center"/>
    </xf>
    <xf numFmtId="0" fontId="39" fillId="0" borderId="24" xfId="5" applyFont="1" applyBorder="1" applyAlignment="1">
      <alignment horizontal="left" vertical="center" wrapText="1" indent="1"/>
    </xf>
    <xf numFmtId="0" fontId="0" fillId="0" borderId="22" xfId="0" applyBorder="1"/>
    <xf numFmtId="164" fontId="0" fillId="0" borderId="24" xfId="1" applyNumberFormat="1" applyFont="1" applyBorder="1" applyAlignment="1">
      <alignment horizontal="right" indent="1"/>
    </xf>
    <xf numFmtId="164" fontId="0" fillId="0" borderId="22" xfId="0" applyNumberFormat="1" applyBorder="1" applyAlignment="1">
      <alignment horizontal="right" indent="1"/>
    </xf>
    <xf numFmtId="164" fontId="0" fillId="0" borderId="26" xfId="1" applyNumberFormat="1" applyFont="1" applyBorder="1" applyAlignment="1">
      <alignment horizontal="right" indent="1"/>
    </xf>
    <xf numFmtId="164" fontId="0" fillId="0" borderId="85" xfId="0" applyNumberFormat="1" applyBorder="1" applyAlignment="1">
      <alignment horizontal="right" indent="1"/>
    </xf>
    <xf numFmtId="164" fontId="0" fillId="0" borderId="85" xfId="1" applyNumberFormat="1" applyFont="1" applyBorder="1" applyAlignment="1">
      <alignment horizontal="right" indent="1"/>
    </xf>
    <xf numFmtId="3" fontId="0" fillId="0" borderId="26" xfId="0" applyNumberFormat="1" applyBorder="1" applyAlignment="1">
      <alignment horizontal="right" indent="1"/>
    </xf>
    <xf numFmtId="0" fontId="0" fillId="0" borderId="71" xfId="0" applyBorder="1"/>
    <xf numFmtId="164" fontId="0" fillId="0" borderId="4" xfId="1" applyNumberFormat="1" applyFont="1" applyBorder="1" applyAlignment="1">
      <alignment horizontal="right" indent="1"/>
    </xf>
    <xf numFmtId="164" fontId="0" fillId="0" borderId="71" xfId="0" applyNumberFormat="1" applyBorder="1" applyAlignment="1">
      <alignment horizontal="right" indent="1"/>
    </xf>
    <xf numFmtId="164" fontId="0" fillId="0" borderId="32" xfId="0" applyNumberFormat="1" applyBorder="1" applyAlignment="1">
      <alignment horizontal="right" indent="1"/>
    </xf>
    <xf numFmtId="164" fontId="0" fillId="0" borderId="1" xfId="1" applyNumberFormat="1" applyFont="1" applyBorder="1" applyAlignment="1">
      <alignment horizontal="right" indent="1"/>
    </xf>
    <xf numFmtId="3" fontId="0" fillId="0" borderId="4" xfId="0" applyNumberFormat="1" applyBorder="1" applyAlignment="1">
      <alignment horizontal="right" indent="1"/>
    </xf>
    <xf numFmtId="0" fontId="39" fillId="0" borderId="12" xfId="5" applyFont="1" applyBorder="1" applyAlignment="1">
      <alignment horizontal="left" vertical="center" wrapText="1" indent="1"/>
    </xf>
    <xf numFmtId="3" fontId="0" fillId="0" borderId="13" xfId="0" applyNumberFormat="1" applyBorder="1" applyAlignment="1">
      <alignment horizontal="right" indent="1"/>
    </xf>
    <xf numFmtId="10" fontId="0" fillId="0" borderId="10" xfId="1" applyNumberFormat="1" applyFont="1" applyBorder="1" applyAlignment="1">
      <alignment horizontal="right" indent="1"/>
    </xf>
    <xf numFmtId="10" fontId="0" fillId="0" borderId="15" xfId="1" applyNumberFormat="1" applyFont="1" applyBorder="1" applyAlignment="1">
      <alignment horizontal="right" indent="1"/>
    </xf>
    <xf numFmtId="3" fontId="0" fillId="0" borderId="10" xfId="0" applyNumberFormat="1" applyBorder="1" applyAlignment="1">
      <alignment horizontal="right" indent="1"/>
    </xf>
    <xf numFmtId="0" fontId="39" fillId="0" borderId="19" xfId="5" applyFont="1" applyBorder="1" applyAlignment="1">
      <alignment horizontal="left" vertical="center" wrapText="1" indent="1"/>
    </xf>
    <xf numFmtId="3" fontId="0" fillId="0" borderId="20" xfId="0" applyNumberFormat="1" applyBorder="1" applyAlignment="1">
      <alignment horizontal="right" indent="1"/>
    </xf>
    <xf numFmtId="10" fontId="0" fillId="0" borderId="14" xfId="1" applyNumberFormat="1" applyFont="1" applyBorder="1" applyAlignment="1">
      <alignment horizontal="right" indent="1"/>
    </xf>
    <xf numFmtId="10" fontId="0" fillId="0" borderId="19" xfId="1" applyNumberFormat="1" applyFont="1" applyBorder="1" applyAlignment="1">
      <alignment horizontal="right" indent="1"/>
    </xf>
    <xf numFmtId="3" fontId="0" fillId="0" borderId="14" xfId="0" applyNumberFormat="1" applyBorder="1" applyAlignment="1">
      <alignment horizontal="right" indent="1"/>
    </xf>
    <xf numFmtId="0" fontId="39" fillId="0" borderId="26" xfId="5" applyFont="1" applyBorder="1" applyAlignment="1">
      <alignment horizontal="left" vertical="center" wrapText="1" indent="1"/>
    </xf>
    <xf numFmtId="3" fontId="0" fillId="0" borderId="22" xfId="0" applyNumberFormat="1" applyBorder="1" applyAlignment="1">
      <alignment horizontal="right" indent="1"/>
    </xf>
    <xf numFmtId="10" fontId="0" fillId="0" borderId="23" xfId="1" applyNumberFormat="1" applyFont="1" applyBorder="1" applyAlignment="1">
      <alignment horizontal="right" indent="1"/>
    </xf>
    <xf numFmtId="10" fontId="0" fillId="0" borderId="26" xfId="1" applyNumberFormat="1" applyFont="1" applyBorder="1" applyAlignment="1">
      <alignment horizontal="right" indent="1"/>
    </xf>
    <xf numFmtId="3" fontId="0" fillId="0" borderId="23" xfId="0" applyNumberFormat="1" applyBorder="1" applyAlignment="1">
      <alignment horizontal="right" indent="1"/>
    </xf>
    <xf numFmtId="0" fontId="12" fillId="0" borderId="42" xfId="0" applyFont="1" applyBorder="1" applyAlignment="1">
      <alignment horizontal="center"/>
    </xf>
    <xf numFmtId="0" fontId="12" fillId="0" borderId="4" xfId="0" applyFont="1" applyBorder="1" applyAlignment="1">
      <alignment horizontal="center"/>
    </xf>
    <xf numFmtId="3" fontId="0" fillId="0" borderId="1" xfId="0" applyNumberFormat="1" applyBorder="1" applyAlignment="1">
      <alignment horizontal="right" indent="1"/>
    </xf>
    <xf numFmtId="10" fontId="0" fillId="0" borderId="29" xfId="1" applyNumberFormat="1" applyFont="1" applyBorder="1" applyAlignment="1">
      <alignment horizontal="right" indent="1"/>
    </xf>
    <xf numFmtId="10" fontId="0" fillId="0" borderId="109" xfId="1" applyNumberFormat="1" applyFont="1" applyBorder="1" applyAlignment="1">
      <alignment horizontal="right" indent="1"/>
    </xf>
    <xf numFmtId="3" fontId="0" fillId="0" borderId="32" xfId="0" applyNumberFormat="1" applyBorder="1" applyAlignment="1">
      <alignment horizontal="right" indent="1"/>
    </xf>
    <xf numFmtId="10" fontId="0" fillId="0" borderId="4" xfId="1" applyNumberFormat="1" applyFont="1" applyBorder="1" applyAlignment="1">
      <alignment horizontal="right" indent="1"/>
    </xf>
    <xf numFmtId="0" fontId="12" fillId="0" borderId="0" xfId="0" applyFont="1" applyBorder="1" applyAlignment="1">
      <alignment horizontal="center"/>
    </xf>
    <xf numFmtId="10" fontId="0" fillId="0" borderId="0" xfId="1" applyNumberFormat="1" applyFont="1" applyBorder="1"/>
    <xf numFmtId="0" fontId="12" fillId="0" borderId="1" xfId="0" applyFont="1" applyBorder="1" applyAlignment="1">
      <alignment horizontal="center"/>
    </xf>
    <xf numFmtId="0" fontId="12" fillId="0" borderId="45" xfId="0" applyFont="1" applyBorder="1" applyAlignment="1">
      <alignment horizontal="center"/>
    </xf>
    <xf numFmtId="0" fontId="17" fillId="6" borderId="42" xfId="10" applyFont="1" applyFill="1" applyBorder="1" applyAlignment="1">
      <alignment vertical="center"/>
    </xf>
    <xf numFmtId="3" fontId="25" fillId="6" borderId="1" xfId="10" applyNumberFormat="1" applyFont="1" applyFill="1" applyBorder="1" applyAlignment="1">
      <alignment vertical="center"/>
    </xf>
    <xf numFmtId="3" fontId="25" fillId="6" borderId="2" xfId="10" applyNumberFormat="1" applyFont="1" applyFill="1" applyBorder="1" applyAlignment="1">
      <alignment vertical="center"/>
    </xf>
    <xf numFmtId="0" fontId="14" fillId="6" borderId="3" xfId="10" applyFont="1" applyFill="1" applyBorder="1" applyAlignment="1">
      <alignment vertical="center"/>
    </xf>
    <xf numFmtId="3" fontId="15" fillId="6" borderId="77" xfId="10" applyNumberFormat="1" applyFont="1" applyFill="1" applyBorder="1" applyAlignment="1">
      <alignment vertical="center"/>
    </xf>
    <xf numFmtId="0" fontId="15" fillId="6" borderId="77" xfId="10" applyFont="1" applyFill="1" applyBorder="1" applyAlignment="1">
      <alignment vertical="center"/>
    </xf>
    <xf numFmtId="3" fontId="33" fillId="8" borderId="94" xfId="10" applyNumberFormat="1" applyFont="1" applyFill="1" applyBorder="1" applyAlignment="1">
      <alignment horizontal="right" vertical="center"/>
    </xf>
    <xf numFmtId="3" fontId="33" fillId="7" borderId="95" xfId="10" applyNumberFormat="1" applyFont="1" applyFill="1" applyBorder="1" applyAlignment="1">
      <alignment horizontal="right" vertical="center"/>
    </xf>
    <xf numFmtId="3" fontId="33" fillId="10" borderId="95" xfId="10" applyNumberFormat="1" applyFont="1" applyFill="1" applyBorder="1" applyAlignment="1">
      <alignment horizontal="right" vertical="center"/>
    </xf>
    <xf numFmtId="0" fontId="5" fillId="0" borderId="0" xfId="10" applyFont="1" applyFill="1" applyBorder="1" applyAlignment="1">
      <alignment horizontal="left" vertical="center"/>
    </xf>
    <xf numFmtId="0" fontId="23" fillId="6" borderId="13" xfId="10" applyFont="1" applyFill="1" applyBorder="1" applyAlignment="1">
      <alignment vertical="center"/>
    </xf>
    <xf numFmtId="0" fontId="23" fillId="6" borderId="10" xfId="10" applyFont="1" applyFill="1" applyBorder="1" applyAlignment="1">
      <alignment vertical="center"/>
    </xf>
    <xf numFmtId="0" fontId="6" fillId="6" borderId="11" xfId="10" applyFont="1" applyFill="1" applyBorder="1" applyAlignment="1">
      <alignment vertical="center"/>
    </xf>
    <xf numFmtId="0" fontId="14" fillId="6" borderId="8" xfId="10" applyFont="1" applyFill="1" applyBorder="1" applyAlignment="1">
      <alignment vertical="center"/>
    </xf>
    <xf numFmtId="165" fontId="26" fillId="6" borderId="9" xfId="10" applyNumberFormat="1" applyFont="1" applyFill="1" applyBorder="1" applyAlignment="1">
      <alignment horizontal="right" vertical="center"/>
    </xf>
    <xf numFmtId="165" fontId="26" fillId="6" borderId="11" xfId="10" applyNumberFormat="1" applyFont="1" applyFill="1" applyBorder="1" applyAlignment="1">
      <alignment horizontal="right" vertical="center"/>
    </xf>
    <xf numFmtId="3" fontId="6" fillId="8" borderId="114" xfId="10" applyNumberFormat="1" applyFont="1" applyFill="1" applyBorder="1" applyAlignment="1">
      <alignment horizontal="right" vertical="center"/>
    </xf>
    <xf numFmtId="165" fontId="26" fillId="6" borderId="15" xfId="10" applyNumberFormat="1" applyFont="1" applyFill="1" applyBorder="1" applyAlignment="1">
      <alignment horizontal="right" vertical="center"/>
    </xf>
    <xf numFmtId="3" fontId="6" fillId="7" borderId="115" xfId="10" applyNumberFormat="1" applyFont="1" applyFill="1" applyBorder="1" applyAlignment="1">
      <alignment horizontal="right" vertical="center"/>
    </xf>
    <xf numFmtId="10" fontId="0" fillId="0" borderId="0" xfId="1" applyNumberFormat="1" applyFont="1"/>
    <xf numFmtId="0" fontId="6" fillId="6" borderId="0" xfId="10" applyFont="1" applyFill="1" applyBorder="1" applyAlignment="1">
      <alignment horizontal="center" vertical="center"/>
    </xf>
    <xf numFmtId="0" fontId="6" fillId="0" borderId="24" xfId="10" applyFont="1" applyFill="1" applyBorder="1" applyAlignment="1">
      <alignment horizontal="left" vertical="center"/>
    </xf>
    <xf numFmtId="0" fontId="6" fillId="0" borderId="84" xfId="10" applyFont="1" applyFill="1" applyBorder="1" applyAlignment="1">
      <alignment horizontal="left" vertical="center"/>
    </xf>
    <xf numFmtId="0" fontId="0" fillId="0" borderId="0" xfId="0"/>
    <xf numFmtId="0" fontId="47" fillId="0" borderId="0" xfId="5" applyFont="1" applyAlignment="1">
      <alignment horizontal="left" vertical="center" wrapText="1"/>
    </xf>
    <xf numFmtId="10" fontId="0" fillId="0" borderId="0" xfId="0" applyNumberFormat="1"/>
    <xf numFmtId="0" fontId="3" fillId="0" borderId="0" xfId="0" applyFont="1" applyBorder="1" applyAlignment="1">
      <alignment horizontal="left" vertical="center"/>
    </xf>
    <xf numFmtId="0" fontId="0" fillId="0" borderId="0" xfId="0" applyFont="1" applyBorder="1" applyAlignment="1">
      <alignment vertical="center"/>
    </xf>
    <xf numFmtId="0" fontId="0" fillId="0" borderId="0" xfId="0" applyFont="1" applyBorder="1" applyAlignment="1">
      <alignment horizontal="left" vertical="center"/>
    </xf>
    <xf numFmtId="0" fontId="37" fillId="0" borderId="0" xfId="0" applyFont="1" applyBorder="1" applyAlignment="1">
      <alignment horizontal="left" vertical="center"/>
    </xf>
    <xf numFmtId="0" fontId="5" fillId="0" borderId="0" xfId="0" applyFont="1" applyBorder="1" applyAlignment="1">
      <alignment vertic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0" fillId="0" borderId="0" xfId="0" applyFont="1" applyBorder="1" applyAlignment="1">
      <alignment horizontal="right" vertical="center" inden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5" xfId="0" applyFont="1" applyBorder="1" applyAlignment="1">
      <alignment horizontal="right" vertical="center" wrapText="1" indent="1"/>
    </xf>
    <xf numFmtId="0" fontId="6" fillId="0" borderId="43" xfId="0" applyFont="1" applyBorder="1" applyAlignment="1">
      <alignment horizontal="center" vertical="center"/>
    </xf>
    <xf numFmtId="0" fontId="6" fillId="0" borderId="19" xfId="0" applyFont="1" applyBorder="1" applyAlignment="1">
      <alignment horizontal="left" vertical="center" indent="1"/>
    </xf>
    <xf numFmtId="3" fontId="8" fillId="0" borderId="40" xfId="0" applyNumberFormat="1" applyFont="1" applyBorder="1" applyAlignment="1">
      <alignment horizontal="right" vertical="center" indent="1"/>
    </xf>
    <xf numFmtId="0" fontId="6" fillId="0" borderId="20" xfId="0" applyFont="1" applyBorder="1" applyAlignment="1">
      <alignment horizontal="center" vertical="center"/>
    </xf>
    <xf numFmtId="3" fontId="8" fillId="6" borderId="40" xfId="0" applyNumberFormat="1" applyFont="1" applyFill="1" applyBorder="1" applyAlignment="1">
      <alignment horizontal="right" vertical="center" indent="1"/>
    </xf>
    <xf numFmtId="0" fontId="6" fillId="6" borderId="19" xfId="0" applyFont="1" applyFill="1" applyBorder="1" applyAlignment="1">
      <alignment horizontal="left" vertical="center" indent="1"/>
    </xf>
    <xf numFmtId="0" fontId="6" fillId="0" borderId="22" xfId="0" applyFont="1" applyBorder="1" applyAlignment="1">
      <alignment horizontal="center" vertical="center"/>
    </xf>
    <xf numFmtId="3" fontId="8" fillId="6" borderId="48" xfId="0" applyNumberFormat="1" applyFont="1" applyFill="1" applyBorder="1" applyAlignment="1">
      <alignment horizontal="right" vertical="center" indent="1"/>
    </xf>
    <xf numFmtId="3" fontId="5" fillId="6" borderId="45" xfId="0" applyNumberFormat="1" applyFont="1" applyFill="1" applyBorder="1" applyAlignment="1">
      <alignment horizontal="right" vertical="center" indent="1"/>
    </xf>
    <xf numFmtId="0" fontId="7" fillId="0" borderId="0" xfId="8" applyFont="1" applyFill="1" applyBorder="1" applyAlignment="1">
      <alignment horizontal="center" vertical="center"/>
    </xf>
    <xf numFmtId="0" fontId="8" fillId="0" borderId="17" xfId="5" applyFont="1" applyBorder="1" applyAlignment="1">
      <alignment horizontal="left" vertical="center" wrapText="1" indent="1"/>
    </xf>
    <xf numFmtId="0" fontId="8" fillId="0" borderId="47" xfId="5" applyFont="1" applyBorder="1" applyAlignment="1">
      <alignment horizontal="left" vertical="center" wrapText="1" indent="1"/>
    </xf>
    <xf numFmtId="0" fontId="0" fillId="0" borderId="85" xfId="0" applyBorder="1" applyAlignment="1">
      <alignment horizontal="center" vertical="center" wrapText="1"/>
    </xf>
    <xf numFmtId="0" fontId="0" fillId="0" borderId="23" xfId="0" applyBorder="1" applyAlignment="1">
      <alignment horizontal="center" vertical="center" wrapText="1"/>
    </xf>
    <xf numFmtId="0" fontId="0" fillId="0" borderId="22" xfId="0" applyBorder="1" applyAlignment="1">
      <alignment horizontal="center" vertical="center" wrapText="1"/>
    </xf>
    <xf numFmtId="0" fontId="0" fillId="0" borderId="26" xfId="0" applyBorder="1" applyAlignment="1">
      <alignment horizontal="center" vertical="center" wrapText="1"/>
    </xf>
    <xf numFmtId="0" fontId="0" fillId="0" borderId="43" xfId="0" applyBorder="1" applyAlignment="1">
      <alignment horizontal="center"/>
    </xf>
    <xf numFmtId="0" fontId="0" fillId="0" borderId="12" xfId="0" applyBorder="1"/>
    <xf numFmtId="3" fontId="0" fillId="0" borderId="44" xfId="0" applyNumberFormat="1" applyBorder="1" applyAlignment="1">
      <alignment horizontal="right" indent="1"/>
    </xf>
    <xf numFmtId="10" fontId="0" fillId="0" borderId="18" xfId="1" applyNumberFormat="1" applyFont="1" applyBorder="1" applyAlignment="1">
      <alignment horizontal="right" indent="1"/>
    </xf>
    <xf numFmtId="3" fontId="0" fillId="0" borderId="43" xfId="0" applyNumberFormat="1" applyBorder="1" applyAlignment="1">
      <alignment horizontal="right" indent="1"/>
    </xf>
    <xf numFmtId="10" fontId="0" fillId="0" borderId="12" xfId="1" applyNumberFormat="1" applyFont="1" applyBorder="1" applyAlignment="1">
      <alignment horizontal="right" indent="1"/>
    </xf>
    <xf numFmtId="10" fontId="0" fillId="0" borderId="44" xfId="1" applyNumberFormat="1" applyFont="1" applyBorder="1" applyAlignment="1">
      <alignment horizontal="right" indent="1"/>
    </xf>
    <xf numFmtId="3" fontId="0" fillId="0" borderId="12" xfId="0" applyNumberFormat="1" applyBorder="1" applyAlignment="1">
      <alignment horizontal="right" indent="1"/>
    </xf>
    <xf numFmtId="0" fontId="0" fillId="0" borderId="20" xfId="0" applyBorder="1" applyAlignment="1">
      <alignment horizontal="center"/>
    </xf>
    <xf numFmtId="0" fontId="0" fillId="0" borderId="19" xfId="0" applyBorder="1"/>
    <xf numFmtId="3" fontId="0" fillId="0" borderId="16" xfId="0" applyNumberFormat="1" applyBorder="1" applyAlignment="1">
      <alignment horizontal="right" indent="1"/>
    </xf>
    <xf numFmtId="10" fontId="0" fillId="0" borderId="21" xfId="1" applyNumberFormat="1" applyFont="1" applyBorder="1" applyAlignment="1">
      <alignment horizontal="right" indent="1"/>
    </xf>
    <xf numFmtId="10" fontId="0" fillId="0" borderId="16" xfId="1" applyNumberFormat="1" applyFont="1" applyBorder="1" applyAlignment="1">
      <alignment horizontal="right" indent="1"/>
    </xf>
    <xf numFmtId="0" fontId="0" fillId="0" borderId="33" xfId="0" applyBorder="1" applyAlignment="1">
      <alignment horizontal="center"/>
    </xf>
    <xf numFmtId="0" fontId="0" fillId="0" borderId="37" xfId="0" applyBorder="1"/>
    <xf numFmtId="3" fontId="0" fillId="0" borderId="36" xfId="0" applyNumberFormat="1" applyBorder="1" applyAlignment="1">
      <alignment horizontal="right" indent="1"/>
    </xf>
    <xf numFmtId="10" fontId="0" fillId="0" borderId="35" xfId="1" applyNumberFormat="1" applyFont="1" applyBorder="1" applyAlignment="1">
      <alignment horizontal="right" indent="1"/>
    </xf>
    <xf numFmtId="3" fontId="0" fillId="0" borderId="33" xfId="0" applyNumberFormat="1" applyBorder="1" applyAlignment="1">
      <alignment horizontal="right" indent="1"/>
    </xf>
    <xf numFmtId="10" fontId="0" fillId="0" borderId="37" xfId="1" applyNumberFormat="1" applyFont="1" applyBorder="1" applyAlignment="1">
      <alignment horizontal="right" indent="1"/>
    </xf>
    <xf numFmtId="10" fontId="0" fillId="0" borderId="36" xfId="1" applyNumberFormat="1" applyFont="1" applyBorder="1" applyAlignment="1">
      <alignment horizontal="right" indent="1"/>
    </xf>
    <xf numFmtId="3" fontId="0" fillId="0" borderId="37" xfId="0" applyNumberFormat="1" applyBorder="1" applyAlignment="1">
      <alignment horizontal="right" indent="1"/>
    </xf>
    <xf numFmtId="3" fontId="12" fillId="0" borderId="41" xfId="0" applyNumberFormat="1" applyFont="1" applyBorder="1" applyAlignment="1">
      <alignment horizontal="right" indent="1"/>
    </xf>
    <xf numFmtId="10" fontId="12" fillId="0" borderId="2" xfId="1" applyNumberFormat="1" applyFont="1" applyBorder="1" applyAlignment="1">
      <alignment horizontal="right" indent="1"/>
    </xf>
    <xf numFmtId="3" fontId="12" fillId="0" borderId="1" xfId="0" applyNumberFormat="1" applyFont="1" applyBorder="1" applyAlignment="1">
      <alignment horizontal="right" indent="1"/>
    </xf>
    <xf numFmtId="10" fontId="12" fillId="0" borderId="4" xfId="1" applyNumberFormat="1" applyFont="1" applyBorder="1" applyAlignment="1">
      <alignment horizontal="right" indent="1"/>
    </xf>
    <xf numFmtId="3" fontId="12" fillId="0" borderId="4" xfId="0" applyNumberFormat="1" applyFont="1" applyBorder="1" applyAlignment="1">
      <alignment horizontal="right" indent="1"/>
    </xf>
    <xf numFmtId="170" fontId="0" fillId="0" borderId="0" xfId="0" applyNumberFormat="1"/>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0" fillId="0" borderId="17" xfId="0" applyBorder="1"/>
    <xf numFmtId="0" fontId="0" fillId="0" borderId="17" xfId="0" applyFont="1" applyFill="1" applyBorder="1" applyAlignment="1">
      <alignment horizontal="center" wrapText="1"/>
    </xf>
    <xf numFmtId="0" fontId="0" fillId="0" borderId="12" xfId="0" applyFill="1" applyBorder="1" applyAlignment="1">
      <alignment horizontal="left" wrapText="1"/>
    </xf>
    <xf numFmtId="4" fontId="0" fillId="0" borderId="13" xfId="0" applyNumberFormat="1" applyBorder="1" applyAlignment="1">
      <alignment horizontal="right" indent="1"/>
    </xf>
    <xf numFmtId="4" fontId="0" fillId="0" borderId="10" xfId="0" applyNumberFormat="1" applyBorder="1" applyAlignment="1">
      <alignment horizontal="right" indent="1"/>
    </xf>
    <xf numFmtId="4" fontId="0" fillId="0" borderId="15" xfId="0" applyNumberFormat="1" applyBorder="1" applyAlignment="1">
      <alignment horizontal="right" indent="1"/>
    </xf>
    <xf numFmtId="3" fontId="0" fillId="0" borderId="15" xfId="1" applyNumberFormat="1" applyFont="1" applyBorder="1" applyAlignment="1">
      <alignment horizontal="right" indent="1"/>
    </xf>
    <xf numFmtId="0" fontId="0" fillId="0" borderId="14" xfId="0" applyBorder="1"/>
    <xf numFmtId="0" fontId="0" fillId="0" borderId="14" xfId="0" applyFont="1" applyFill="1" applyBorder="1" applyAlignment="1">
      <alignment horizontal="center" wrapText="1"/>
    </xf>
    <xf numFmtId="0" fontId="0" fillId="0" borderId="19" xfId="0" applyFill="1" applyBorder="1" applyAlignment="1">
      <alignment horizontal="left" wrapText="1"/>
    </xf>
    <xf numFmtId="4" fontId="0" fillId="0" borderId="20" xfId="0" applyNumberFormat="1" applyBorder="1" applyAlignment="1">
      <alignment horizontal="right" indent="1"/>
    </xf>
    <xf numFmtId="4" fontId="0" fillId="0" borderId="14" xfId="0" applyNumberFormat="1" applyBorder="1" applyAlignment="1">
      <alignment horizontal="right" indent="1"/>
    </xf>
    <xf numFmtId="4" fontId="0" fillId="0" borderId="19" xfId="0" applyNumberFormat="1" applyBorder="1" applyAlignment="1">
      <alignment horizontal="right" indent="1"/>
    </xf>
    <xf numFmtId="3" fontId="0" fillId="0" borderId="19" xfId="1" applyNumberFormat="1" applyFont="1" applyBorder="1" applyAlignment="1">
      <alignment horizontal="right" indent="1"/>
    </xf>
    <xf numFmtId="4" fontId="0" fillId="17" borderId="20" xfId="0" applyNumberFormat="1" applyFill="1" applyBorder="1" applyAlignment="1">
      <alignment horizontal="right" indent="1"/>
    </xf>
    <xf numFmtId="4" fontId="0" fillId="17" borderId="14" xfId="0" applyNumberFormat="1" applyFill="1" applyBorder="1" applyAlignment="1">
      <alignment horizontal="right" indent="1"/>
    </xf>
    <xf numFmtId="4" fontId="0" fillId="17" borderId="19" xfId="0" applyNumberFormat="1" applyFill="1" applyBorder="1" applyAlignment="1">
      <alignment horizontal="right" indent="1"/>
    </xf>
    <xf numFmtId="10" fontId="0" fillId="17" borderId="19" xfId="1" applyNumberFormat="1" applyFont="1" applyFill="1" applyBorder="1" applyAlignment="1">
      <alignment horizontal="right" indent="1"/>
    </xf>
    <xf numFmtId="3" fontId="0" fillId="17" borderId="19" xfId="1" applyNumberFormat="1" applyFont="1" applyFill="1" applyBorder="1" applyAlignment="1">
      <alignment horizontal="right" indent="1"/>
    </xf>
    <xf numFmtId="0" fontId="0" fillId="0" borderId="34" xfId="0" applyBorder="1"/>
    <xf numFmtId="0" fontId="0" fillId="0" borderId="34" xfId="0" applyFont="1" applyFill="1" applyBorder="1" applyAlignment="1">
      <alignment horizontal="center" wrapText="1"/>
    </xf>
    <xf numFmtId="0" fontId="0" fillId="0" borderId="37" xfId="0" applyFill="1" applyBorder="1" applyAlignment="1">
      <alignment horizontal="left" wrapText="1"/>
    </xf>
    <xf numFmtId="0" fontId="0" fillId="0" borderId="22" xfId="0" applyBorder="1" applyAlignment="1">
      <alignment horizontal="center"/>
    </xf>
    <xf numFmtId="0" fontId="0" fillId="0" borderId="23" xfId="0" applyBorder="1"/>
    <xf numFmtId="0" fontId="0" fillId="0" borderId="23" xfId="0" applyFont="1" applyFill="1" applyBorder="1" applyAlignment="1">
      <alignment horizontal="center" wrapText="1"/>
    </xf>
    <xf numFmtId="0" fontId="0" fillId="0" borderId="26" xfId="0" applyFill="1" applyBorder="1" applyAlignment="1">
      <alignment horizontal="left" wrapText="1"/>
    </xf>
    <xf numFmtId="4" fontId="12" fillId="0" borderId="1" xfId="0" applyNumberFormat="1" applyFont="1" applyBorder="1" applyAlignment="1">
      <alignment horizontal="center"/>
    </xf>
    <xf numFmtId="4" fontId="12" fillId="0" borderId="2" xfId="0" applyNumberFormat="1" applyFont="1" applyBorder="1" applyAlignment="1">
      <alignment horizontal="center"/>
    </xf>
    <xf numFmtId="4" fontId="12" fillId="0" borderId="4" xfId="0" applyNumberFormat="1" applyFont="1" applyBorder="1" applyAlignment="1">
      <alignment horizontal="center"/>
    </xf>
    <xf numFmtId="10" fontId="12" fillId="0" borderId="4" xfId="1" applyNumberFormat="1" applyFont="1" applyBorder="1" applyAlignment="1">
      <alignment horizontal="center"/>
    </xf>
    <xf numFmtId="3" fontId="12" fillId="0" borderId="4" xfId="1" applyNumberFormat="1" applyFont="1" applyBorder="1" applyAlignment="1">
      <alignment horizontal="center"/>
    </xf>
    <xf numFmtId="3" fontId="8" fillId="0" borderId="113" xfId="8" applyNumberFormat="1" applyFont="1" applyBorder="1" applyAlignment="1">
      <alignment horizontal="right" vertical="center" indent="1"/>
    </xf>
    <xf numFmtId="3" fontId="8" fillId="0" borderId="116" xfId="8" applyNumberFormat="1" applyFont="1" applyBorder="1" applyAlignment="1">
      <alignment horizontal="right" vertical="center" indent="1"/>
    </xf>
    <xf numFmtId="3" fontId="8" fillId="0" borderId="117" xfId="8" applyNumberFormat="1" applyFont="1" applyBorder="1" applyAlignment="1">
      <alignment horizontal="right" vertical="center" indent="1"/>
    </xf>
    <xf numFmtId="3" fontId="7" fillId="0" borderId="46" xfId="8" applyNumberFormat="1" applyFont="1" applyBorder="1" applyAlignment="1">
      <alignment horizontal="right" vertical="center" indent="1"/>
    </xf>
    <xf numFmtId="0" fontId="15" fillId="6" borderId="0" xfId="10" applyFont="1" applyFill="1" applyBorder="1" applyAlignment="1">
      <alignment horizontal="center" vertical="center" wrapText="1"/>
    </xf>
    <xf numFmtId="10" fontId="6" fillId="6" borderId="0" xfId="10" applyNumberFormat="1" applyFont="1" applyFill="1" applyBorder="1" applyAlignment="1">
      <alignment horizontal="center" vertical="center"/>
    </xf>
    <xf numFmtId="3" fontId="5" fillId="0" borderId="0" xfId="10" applyNumberFormat="1" applyFont="1" applyFill="1" applyBorder="1" applyAlignment="1">
      <alignment horizontal="center" vertical="center"/>
    </xf>
    <xf numFmtId="0" fontId="14" fillId="7" borderId="4" xfId="10" applyFont="1" applyFill="1" applyBorder="1" applyAlignment="1">
      <alignment horizontal="center" vertical="top"/>
    </xf>
    <xf numFmtId="3" fontId="5" fillId="7" borderId="15" xfId="10" applyNumberFormat="1" applyFont="1" applyFill="1" applyBorder="1" applyAlignment="1">
      <alignment horizontal="center" vertical="center"/>
    </xf>
    <xf numFmtId="3" fontId="5" fillId="7" borderId="12" xfId="10" applyNumberFormat="1" applyFont="1" applyFill="1" applyBorder="1" applyAlignment="1">
      <alignment horizontal="center" vertical="center"/>
    </xf>
    <xf numFmtId="3" fontId="5" fillId="7" borderId="26" xfId="10" applyNumberFormat="1" applyFont="1" applyFill="1" applyBorder="1" applyAlignment="1">
      <alignment horizontal="center" vertical="center"/>
    </xf>
    <xf numFmtId="0" fontId="0" fillId="0" borderId="0" xfId="0"/>
    <xf numFmtId="0" fontId="0" fillId="0" borderId="0" xfId="0" applyFont="1" applyAlignment="1">
      <alignment horizontal="left"/>
    </xf>
    <xf numFmtId="0" fontId="8" fillId="0" borderId="0" xfId="8" applyFont="1" applyAlignment="1">
      <alignment horizontal="right"/>
    </xf>
    <xf numFmtId="3" fontId="0" fillId="0" borderId="0" xfId="0" applyNumberFormat="1" applyFont="1"/>
    <xf numFmtId="0" fontId="0" fillId="0" borderId="0" xfId="0" applyFont="1"/>
    <xf numFmtId="3" fontId="6" fillId="0" borderId="0" xfId="10" applyNumberFormat="1" applyFont="1" applyFill="1" applyAlignment="1">
      <alignment vertical="center"/>
    </xf>
    <xf numFmtId="0" fontId="0" fillId="0" borderId="0" xfId="0"/>
    <xf numFmtId="0" fontId="3" fillId="0" borderId="0" xfId="2" applyFont="1"/>
    <xf numFmtId="0" fontId="58" fillId="0" borderId="0" xfId="2" applyFont="1"/>
    <xf numFmtId="0" fontId="59" fillId="0" borderId="0" xfId="0" applyFont="1"/>
    <xf numFmtId="0" fontId="55" fillId="0" borderId="0" xfId="0" applyFont="1"/>
    <xf numFmtId="0" fontId="8" fillId="0" borderId="0" xfId="0" applyFont="1" applyAlignment="1">
      <alignment horizontal="center"/>
    </xf>
    <xf numFmtId="0" fontId="6" fillId="0" borderId="0" xfId="9" quotePrefix="1" applyFont="1"/>
    <xf numFmtId="0" fontId="8" fillId="0" borderId="0" xfId="0" applyFont="1" applyAlignment="1">
      <alignment horizontal="center" vertical="top"/>
    </xf>
    <xf numFmtId="0" fontId="6" fillId="0" borderId="0" xfId="0" quotePrefix="1" applyFont="1"/>
    <xf numFmtId="0" fontId="6" fillId="0" borderId="0" xfId="9" quotePrefix="1" applyFont="1" applyAlignment="1"/>
    <xf numFmtId="0" fontId="6" fillId="0" borderId="0" xfId="9" applyFont="1" applyAlignment="1"/>
    <xf numFmtId="0" fontId="60" fillId="0" borderId="0" xfId="9" quotePrefix="1" applyFont="1" applyAlignment="1"/>
    <xf numFmtId="0" fontId="60" fillId="0" borderId="0" xfId="9" applyFont="1" applyAlignment="1">
      <alignment horizontal="left"/>
    </xf>
    <xf numFmtId="0" fontId="60" fillId="0" borderId="0" xfId="9" applyFont="1" applyAlignment="1"/>
    <xf numFmtId="0" fontId="60" fillId="0" borderId="0" xfId="9" quotePrefix="1" applyFont="1"/>
    <xf numFmtId="0" fontId="3" fillId="6" borderId="0" xfId="10" applyFont="1" applyFill="1" applyAlignment="1">
      <alignment horizontal="center" vertical="center" wrapText="1"/>
    </xf>
    <xf numFmtId="0" fontId="5" fillId="6" borderId="53" xfId="11" applyFont="1" applyFill="1" applyBorder="1" applyAlignment="1">
      <alignment horizontal="left" vertical="center" wrapText="1"/>
    </xf>
    <xf numFmtId="0" fontId="5" fillId="6" borderId="54" xfId="11" applyFont="1" applyFill="1" applyBorder="1" applyAlignment="1">
      <alignment horizontal="left" vertical="center" wrapText="1"/>
    </xf>
    <xf numFmtId="0" fontId="5" fillId="6" borderId="16" xfId="11" applyFont="1" applyFill="1" applyBorder="1" applyAlignment="1">
      <alignment horizontal="left" vertical="center" wrapText="1"/>
    </xf>
    <xf numFmtId="0" fontId="5" fillId="6" borderId="20" xfId="10" applyFont="1" applyFill="1" applyBorder="1" applyAlignment="1">
      <alignment horizontal="left" vertical="center" wrapText="1"/>
    </xf>
    <xf numFmtId="0" fontId="5" fillId="6" borderId="14" xfId="10" applyFont="1" applyFill="1" applyBorder="1" applyAlignment="1">
      <alignment horizontal="left" vertical="center" wrapText="1"/>
    </xf>
    <xf numFmtId="0" fontId="14" fillId="6" borderId="1" xfId="10" applyFont="1" applyFill="1" applyBorder="1" applyAlignment="1">
      <alignment horizontal="center" vertical="center"/>
    </xf>
    <xf numFmtId="0" fontId="14" fillId="6" borderId="2" xfId="10" applyFont="1" applyFill="1" applyBorder="1" applyAlignment="1">
      <alignment horizontal="center" vertical="center"/>
    </xf>
    <xf numFmtId="0" fontId="14" fillId="6" borderId="5" xfId="10" applyFont="1" applyFill="1" applyBorder="1" applyAlignment="1">
      <alignment horizontal="center" vertical="center"/>
    </xf>
    <xf numFmtId="0" fontId="14" fillId="6" borderId="52" xfId="10" applyFont="1" applyFill="1" applyBorder="1" applyAlignment="1">
      <alignment horizontal="center" vertical="center"/>
    </xf>
    <xf numFmtId="0" fontId="5" fillId="6" borderId="7" xfId="10" applyFont="1" applyFill="1" applyBorder="1" applyAlignment="1">
      <alignment horizontal="left" vertical="center" wrapText="1"/>
    </xf>
    <xf numFmtId="0" fontId="5" fillId="6" borderId="8" xfId="10" applyFont="1" applyFill="1" applyBorder="1" applyAlignment="1">
      <alignment horizontal="left" vertical="center" wrapText="1"/>
    </xf>
    <xf numFmtId="0" fontId="5" fillId="6" borderId="9" xfId="10" applyFont="1" applyFill="1" applyBorder="1" applyAlignment="1">
      <alignment horizontal="left" vertical="center" wrapText="1"/>
    </xf>
    <xf numFmtId="0" fontId="5" fillId="6" borderId="13" xfId="11" applyFont="1" applyFill="1" applyBorder="1" applyAlignment="1">
      <alignment horizontal="left" vertical="center" wrapText="1"/>
    </xf>
    <xf numFmtId="0" fontId="5" fillId="6" borderId="10" xfId="11" applyFont="1" applyFill="1" applyBorder="1" applyAlignment="1">
      <alignment horizontal="left" vertical="center" wrapText="1"/>
    </xf>
    <xf numFmtId="0" fontId="5" fillId="0" borderId="5" xfId="10" applyFont="1" applyFill="1" applyBorder="1" applyAlignment="1">
      <alignment horizontal="center" vertical="center" textRotation="90" wrapText="1"/>
    </xf>
    <xf numFmtId="0" fontId="5" fillId="0" borderId="27" xfId="10" applyFont="1" applyFill="1" applyBorder="1" applyAlignment="1">
      <alignment horizontal="center" vertical="center" textRotation="90" wrapText="1"/>
    </xf>
    <xf numFmtId="0" fontId="5" fillId="0" borderId="55" xfId="10" applyFont="1" applyFill="1" applyBorder="1" applyAlignment="1">
      <alignment horizontal="center" vertical="center" textRotation="90" wrapText="1"/>
    </xf>
    <xf numFmtId="0" fontId="5" fillId="0" borderId="63" xfId="10" applyFont="1" applyFill="1" applyBorder="1" applyAlignment="1">
      <alignment horizontal="center" vertical="center" textRotation="90" wrapText="1"/>
    </xf>
    <xf numFmtId="0" fontId="5" fillId="0" borderId="56" xfId="10" applyFont="1" applyFill="1" applyBorder="1" applyAlignment="1">
      <alignment horizontal="center" vertical="center" wrapText="1"/>
    </xf>
    <xf numFmtId="0" fontId="5" fillId="0" borderId="57" xfId="10" applyFont="1" applyFill="1" applyBorder="1" applyAlignment="1">
      <alignment horizontal="center" vertical="center" wrapText="1"/>
    </xf>
    <xf numFmtId="0" fontId="5" fillId="0" borderId="58" xfId="10" applyFont="1" applyFill="1" applyBorder="1" applyAlignment="1">
      <alignment horizontal="center" vertical="center" wrapText="1"/>
    </xf>
    <xf numFmtId="0" fontId="5" fillId="0" borderId="64" xfId="10" applyFont="1" applyFill="1" applyBorder="1" applyAlignment="1">
      <alignment horizontal="center" vertical="center" wrapText="1"/>
    </xf>
    <xf numFmtId="0" fontId="5" fillId="0" borderId="0" xfId="10" applyFont="1" applyFill="1" applyBorder="1" applyAlignment="1">
      <alignment horizontal="center" vertical="center" wrapText="1"/>
    </xf>
    <xf numFmtId="0" fontId="5" fillId="0" borderId="65" xfId="10" applyFont="1" applyFill="1" applyBorder="1" applyAlignment="1">
      <alignment horizontal="center" vertical="center" wrapText="1"/>
    </xf>
    <xf numFmtId="0" fontId="5" fillId="0" borderId="71" xfId="10" applyFont="1" applyFill="1" applyBorder="1" applyAlignment="1">
      <alignment horizontal="center" vertical="center" wrapText="1"/>
    </xf>
    <xf numFmtId="0" fontId="5" fillId="0" borderId="72" xfId="10" applyFont="1" applyFill="1" applyBorder="1" applyAlignment="1">
      <alignment horizontal="center" vertical="center" wrapText="1"/>
    </xf>
    <xf numFmtId="0" fontId="5" fillId="0" borderId="29" xfId="10" applyFont="1" applyFill="1" applyBorder="1" applyAlignment="1">
      <alignment horizontal="center" vertical="center" wrapText="1"/>
    </xf>
    <xf numFmtId="49" fontId="5" fillId="0" borderId="10" xfId="10" applyNumberFormat="1" applyFont="1" applyFill="1" applyBorder="1" applyAlignment="1">
      <alignment horizontal="center" vertical="center" wrapText="1"/>
    </xf>
    <xf numFmtId="49" fontId="5" fillId="0" borderId="14" xfId="10" applyNumberFormat="1" applyFont="1" applyFill="1" applyBorder="1" applyAlignment="1">
      <alignment horizontal="center" vertical="center" wrapText="1"/>
    </xf>
    <xf numFmtId="49" fontId="5" fillId="0" borderId="23" xfId="10" applyNumberFormat="1" applyFont="1" applyFill="1" applyBorder="1" applyAlignment="1">
      <alignment horizontal="center" vertical="center" wrapText="1"/>
    </xf>
    <xf numFmtId="0" fontId="5" fillId="6" borderId="22" xfId="11" applyFont="1" applyFill="1" applyBorder="1" applyAlignment="1">
      <alignment horizontal="left" vertical="center" wrapText="1"/>
    </xf>
    <xf numFmtId="0" fontId="5" fillId="6" borderId="23" xfId="11" applyFont="1" applyFill="1" applyBorder="1" applyAlignment="1">
      <alignment horizontal="left" vertical="center" wrapText="1"/>
    </xf>
    <xf numFmtId="0" fontId="6" fillId="6" borderId="0" xfId="10" applyFont="1" applyFill="1" applyBorder="1" applyAlignment="1">
      <alignment horizontal="center" vertical="center"/>
    </xf>
    <xf numFmtId="0" fontId="5" fillId="6" borderId="22" xfId="10" applyFont="1" applyFill="1" applyBorder="1" applyAlignment="1">
      <alignment horizontal="left" vertical="center" wrapText="1"/>
    </xf>
    <xf numFmtId="0" fontId="5" fillId="6" borderId="23" xfId="10" applyFont="1" applyFill="1" applyBorder="1" applyAlignment="1">
      <alignment horizontal="left" vertical="center" wrapText="1"/>
    </xf>
    <xf numFmtId="0" fontId="17" fillId="6" borderId="0" xfId="10" applyFont="1" applyFill="1" applyBorder="1" applyAlignment="1">
      <alignment horizontal="left" vertical="center"/>
    </xf>
    <xf numFmtId="0" fontId="23" fillId="6" borderId="3" xfId="10" applyFont="1" applyFill="1" applyBorder="1" applyAlignment="1">
      <alignment horizontal="left" vertical="center"/>
    </xf>
    <xf numFmtId="0" fontId="23" fillId="6" borderId="77" xfId="10" applyFont="1" applyFill="1" applyBorder="1" applyAlignment="1">
      <alignment horizontal="left" vertical="center"/>
    </xf>
    <xf numFmtId="10" fontId="18" fillId="0" borderId="52" xfId="10" applyNumberFormat="1" applyFont="1" applyFill="1" applyBorder="1" applyAlignment="1">
      <alignment horizontal="center" vertical="center" wrapText="1"/>
    </xf>
    <xf numFmtId="10" fontId="18" fillId="0" borderId="66" xfId="10" applyNumberFormat="1" applyFont="1" applyFill="1" applyBorder="1" applyAlignment="1">
      <alignment horizontal="center" vertical="center" wrapText="1"/>
    </xf>
    <xf numFmtId="10" fontId="18" fillId="0" borderId="30" xfId="10" applyNumberFormat="1" applyFont="1" applyFill="1" applyBorder="1" applyAlignment="1">
      <alignment horizontal="center" vertical="center" wrapText="1"/>
    </xf>
    <xf numFmtId="49" fontId="18" fillId="0" borderId="59" xfId="10" applyNumberFormat="1" applyFont="1" applyFill="1" applyBorder="1" applyAlignment="1">
      <alignment horizontal="center" vertical="center" wrapText="1"/>
    </xf>
    <xf numFmtId="49" fontId="18" fillId="0" borderId="67" xfId="10" applyNumberFormat="1" applyFont="1" applyFill="1" applyBorder="1" applyAlignment="1">
      <alignment horizontal="center" vertical="center" wrapText="1"/>
    </xf>
    <xf numFmtId="49" fontId="18" fillId="0" borderId="73" xfId="10" applyNumberFormat="1" applyFont="1" applyFill="1" applyBorder="1" applyAlignment="1">
      <alignment horizontal="center" vertical="center" wrapText="1"/>
    </xf>
    <xf numFmtId="49" fontId="7" fillId="8" borderId="60" xfId="10" applyNumberFormat="1" applyFont="1" applyFill="1" applyBorder="1" applyAlignment="1">
      <alignment horizontal="center" vertical="center" wrapText="1"/>
    </xf>
    <xf numFmtId="49" fontId="7" fillId="8" borderId="68" xfId="10" applyNumberFormat="1" applyFont="1" applyFill="1" applyBorder="1" applyAlignment="1">
      <alignment horizontal="center" vertical="center" wrapText="1"/>
    </xf>
    <xf numFmtId="49" fontId="7" fillId="8" borderId="74" xfId="10" applyNumberFormat="1" applyFont="1" applyFill="1" applyBorder="1" applyAlignment="1">
      <alignment horizontal="center" vertical="center" wrapText="1"/>
    </xf>
    <xf numFmtId="10" fontId="18" fillId="0" borderId="61" xfId="10" applyNumberFormat="1" applyFont="1" applyFill="1" applyBorder="1" applyAlignment="1">
      <alignment horizontal="center" vertical="center" wrapText="1"/>
    </xf>
    <xf numFmtId="10" fontId="18" fillId="0" borderId="69" xfId="10" applyNumberFormat="1" applyFont="1" applyFill="1" applyBorder="1" applyAlignment="1">
      <alignment horizontal="center" vertical="center" wrapText="1"/>
    </xf>
    <xf numFmtId="10" fontId="18" fillId="0" borderId="75" xfId="10" applyNumberFormat="1" applyFont="1" applyFill="1" applyBorder="1" applyAlignment="1">
      <alignment horizontal="center" vertical="center" wrapText="1"/>
    </xf>
    <xf numFmtId="10" fontId="18" fillId="0" borderId="58" xfId="10" applyNumberFormat="1" applyFont="1" applyFill="1" applyBorder="1" applyAlignment="1">
      <alignment horizontal="center" vertical="center" wrapText="1"/>
    </xf>
    <xf numFmtId="10" fontId="18" fillId="0" borderId="65" xfId="10" applyNumberFormat="1" applyFont="1" applyFill="1" applyBorder="1" applyAlignment="1">
      <alignment horizontal="center" vertical="center" wrapText="1"/>
    </xf>
    <xf numFmtId="10" fontId="18" fillId="0" borderId="29" xfId="10" applyNumberFormat="1" applyFont="1" applyFill="1" applyBorder="1" applyAlignment="1">
      <alignment horizontal="center" vertical="center" wrapText="1"/>
    </xf>
    <xf numFmtId="49" fontId="18" fillId="0" borderId="15" xfId="10" applyNumberFormat="1" applyFont="1" applyFill="1" applyBorder="1" applyAlignment="1">
      <alignment horizontal="center" vertical="center" wrapText="1"/>
    </xf>
    <xf numFmtId="49" fontId="18" fillId="0" borderId="19" xfId="10" applyNumberFormat="1" applyFont="1" applyFill="1" applyBorder="1" applyAlignment="1">
      <alignment horizontal="center" vertical="center" wrapText="1"/>
    </xf>
    <xf numFmtId="49" fontId="18" fillId="0" borderId="26" xfId="10" applyNumberFormat="1" applyFont="1" applyFill="1" applyBorder="1" applyAlignment="1">
      <alignment horizontal="center" vertical="center" wrapText="1"/>
    </xf>
    <xf numFmtId="1" fontId="5" fillId="0" borderId="3" xfId="10" applyNumberFormat="1" applyFont="1" applyFill="1" applyBorder="1" applyAlignment="1">
      <alignment horizontal="center" vertical="center"/>
    </xf>
    <xf numFmtId="1" fontId="5" fillId="0" borderId="77" xfId="10" applyNumberFormat="1" applyFont="1" applyFill="1" applyBorder="1" applyAlignment="1">
      <alignment horizontal="center" vertical="center"/>
    </xf>
    <xf numFmtId="0" fontId="6" fillId="6" borderId="11" xfId="10" applyFont="1" applyFill="1" applyBorder="1" applyAlignment="1">
      <alignment horizontal="left" vertical="center"/>
    </xf>
    <xf numFmtId="0" fontId="6" fillId="6" borderId="8" xfId="10" applyFont="1" applyFill="1" applyBorder="1" applyAlignment="1">
      <alignment horizontal="left" vertical="center"/>
    </xf>
    <xf numFmtId="0" fontId="6" fillId="0" borderId="35" xfId="10" applyFont="1" applyFill="1" applyBorder="1" applyAlignment="1">
      <alignment horizontal="left" vertical="center"/>
    </xf>
    <xf numFmtId="0" fontId="6" fillId="0" borderId="81" xfId="10" applyFont="1" applyFill="1" applyBorder="1" applyAlignment="1">
      <alignment horizontal="left" vertical="center"/>
    </xf>
    <xf numFmtId="49" fontId="18" fillId="0" borderId="6" xfId="10" applyNumberFormat="1" applyFont="1" applyFill="1" applyBorder="1" applyAlignment="1">
      <alignment horizontal="center" vertical="center" wrapText="1"/>
    </xf>
    <xf numFmtId="49" fontId="18" fillId="0" borderId="28" xfId="10" applyNumberFormat="1" applyFont="1" applyFill="1" applyBorder="1" applyAlignment="1">
      <alignment horizontal="center" vertical="center" wrapText="1"/>
    </xf>
    <xf numFmtId="49" fontId="18" fillId="0" borderId="31" xfId="10" applyNumberFormat="1" applyFont="1" applyFill="1" applyBorder="1" applyAlignment="1">
      <alignment horizontal="center" vertical="center" wrapText="1"/>
    </xf>
    <xf numFmtId="49" fontId="7" fillId="7" borderId="62" xfId="10" applyNumberFormat="1" applyFont="1" applyFill="1" applyBorder="1" applyAlignment="1">
      <alignment horizontal="center" vertical="center" wrapText="1"/>
    </xf>
    <xf numFmtId="49" fontId="7" fillId="7" borderId="70" xfId="10" applyNumberFormat="1" applyFont="1" applyFill="1" applyBorder="1" applyAlignment="1">
      <alignment horizontal="center" vertical="center" wrapText="1"/>
    </xf>
    <xf numFmtId="49" fontId="7" fillId="7" borderId="76" xfId="10" applyNumberFormat="1" applyFont="1" applyFill="1" applyBorder="1" applyAlignment="1">
      <alignment horizontal="center" vertical="center" wrapText="1"/>
    </xf>
    <xf numFmtId="0" fontId="14" fillId="6" borderId="3" xfId="10" applyFont="1" applyFill="1" applyBorder="1" applyAlignment="1">
      <alignment horizontal="left" vertical="center"/>
    </xf>
    <xf numFmtId="0" fontId="14" fillId="6" borderId="77" xfId="10" applyFont="1" applyFill="1" applyBorder="1" applyAlignment="1">
      <alignment horizontal="left" vertical="center"/>
    </xf>
    <xf numFmtId="0" fontId="17" fillId="0" borderId="21" xfId="10" applyFont="1" applyFill="1" applyBorder="1" applyAlignment="1">
      <alignment horizontal="left" vertical="center"/>
    </xf>
    <xf numFmtId="0" fontId="17" fillId="0" borderId="54" xfId="10" applyFont="1" applyFill="1" applyBorder="1" applyAlignment="1">
      <alignment horizontal="left" vertical="center"/>
    </xf>
    <xf numFmtId="0" fontId="17" fillId="0" borderId="16" xfId="10" applyFont="1" applyFill="1" applyBorder="1" applyAlignment="1">
      <alignment horizontal="left" vertical="center"/>
    </xf>
    <xf numFmtId="0" fontId="6" fillId="0" borderId="11" xfId="10" applyFont="1" applyFill="1" applyBorder="1" applyAlignment="1">
      <alignment horizontal="left" vertical="center"/>
    </xf>
    <xf numFmtId="0" fontId="6" fillId="0" borderId="8" xfId="10" applyFont="1" applyFill="1" applyBorder="1" applyAlignment="1">
      <alignment horizontal="left" vertical="center"/>
    </xf>
    <xf numFmtId="0" fontId="6" fillId="0" borderId="21" xfId="10" applyFont="1" applyFill="1" applyBorder="1" applyAlignment="1">
      <alignment horizontal="left" vertical="center"/>
    </xf>
    <xf numFmtId="0" fontId="6" fillId="0" borderId="54" xfId="10" applyFont="1" applyFill="1" applyBorder="1" applyAlignment="1">
      <alignment horizontal="left" vertical="center"/>
    </xf>
    <xf numFmtId="0" fontId="6" fillId="0" borderId="24" xfId="10" applyFont="1" applyFill="1" applyBorder="1" applyAlignment="1">
      <alignment horizontal="left" vertical="center"/>
    </xf>
    <xf numFmtId="0" fontId="6" fillId="0" borderId="84" xfId="10" applyFont="1" applyFill="1" applyBorder="1" applyAlignment="1">
      <alignment horizontal="left" vertical="center"/>
    </xf>
    <xf numFmtId="0" fontId="23" fillId="6" borderId="32" xfId="10" applyFont="1" applyFill="1" applyBorder="1" applyAlignment="1">
      <alignment horizontal="left" vertical="center"/>
    </xf>
    <xf numFmtId="0" fontId="23" fillId="6" borderId="72" xfId="10" applyFont="1" applyFill="1" applyBorder="1" applyAlignment="1">
      <alignment horizontal="left" vertical="center"/>
    </xf>
    <xf numFmtId="0" fontId="30" fillId="0" borderId="21" xfId="10" applyFont="1" applyFill="1" applyBorder="1" applyAlignment="1">
      <alignment horizontal="left" vertical="center"/>
    </xf>
    <xf numFmtId="0" fontId="30" fillId="0" borderId="54" xfId="10" applyFont="1" applyFill="1" applyBorder="1" applyAlignment="1">
      <alignment horizontal="left" vertical="center"/>
    </xf>
    <xf numFmtId="0" fontId="30" fillId="0" borderId="16" xfId="10" applyFont="1" applyFill="1" applyBorder="1" applyAlignment="1">
      <alignment horizontal="left" vertical="center"/>
    </xf>
    <xf numFmtId="0" fontId="6" fillId="0" borderId="36" xfId="10" applyFont="1" applyFill="1" applyBorder="1" applyAlignment="1">
      <alignment horizontal="left" vertical="center"/>
    </xf>
    <xf numFmtId="0" fontId="8" fillId="0" borderId="0" xfId="0" applyFont="1" applyAlignment="1">
      <alignment horizontal="left" wrapText="1"/>
    </xf>
    <xf numFmtId="0" fontId="5" fillId="0" borderId="14" xfId="10" applyFont="1" applyFill="1" applyBorder="1" applyAlignment="1">
      <alignment horizontal="left" vertical="center"/>
    </xf>
    <xf numFmtId="0" fontId="6" fillId="0" borderId="0" xfId="10" applyFont="1" applyFill="1" applyBorder="1" applyAlignment="1">
      <alignment horizontal="left" vertical="center"/>
    </xf>
    <xf numFmtId="0" fontId="0" fillId="11" borderId="7" xfId="0" applyFill="1" applyBorder="1" applyAlignment="1">
      <alignment horizontal="center" vertical="center" wrapText="1"/>
    </xf>
    <xf numFmtId="0" fontId="0" fillId="11" borderId="39" xfId="0" applyFill="1" applyBorder="1" applyAlignment="1">
      <alignment horizontal="center" vertical="center" wrapText="1"/>
    </xf>
    <xf numFmtId="0" fontId="12" fillId="12" borderId="1" xfId="0" applyFont="1" applyFill="1" applyBorder="1" applyAlignment="1">
      <alignment horizontal="center"/>
    </xf>
    <xf numFmtId="0" fontId="12" fillId="12" borderId="4" xfId="0" applyFont="1" applyFill="1" applyBorder="1" applyAlignment="1">
      <alignment horizontal="center"/>
    </xf>
    <xf numFmtId="0" fontId="0" fillId="11" borderId="5" xfId="0" applyFill="1" applyBorder="1" applyAlignment="1">
      <alignment horizontal="center"/>
    </xf>
    <xf numFmtId="0" fontId="0" fillId="11" borderId="6" xfId="0" applyFill="1" applyBorder="1" applyAlignment="1">
      <alignment horizontal="center"/>
    </xf>
    <xf numFmtId="0" fontId="0" fillId="11" borderId="7" xfId="0" applyFill="1" applyBorder="1" applyAlignment="1">
      <alignment horizontal="center" vertical="center"/>
    </xf>
    <xf numFmtId="0" fontId="0" fillId="11" borderId="107" xfId="0" applyFill="1" applyBorder="1" applyAlignment="1">
      <alignment horizontal="center" vertical="center"/>
    </xf>
    <xf numFmtId="0" fontId="0" fillId="11" borderId="106" xfId="0" applyFill="1" applyBorder="1" applyAlignment="1">
      <alignment horizontal="center" vertical="center"/>
    </xf>
    <xf numFmtId="0" fontId="0" fillId="11" borderId="108" xfId="0" applyFill="1" applyBorder="1" applyAlignment="1">
      <alignment horizontal="center" vertical="center"/>
    </xf>
    <xf numFmtId="0" fontId="0" fillId="11" borderId="13" xfId="0" applyFill="1" applyBorder="1" applyAlignment="1">
      <alignment horizontal="center" vertical="center" wrapText="1"/>
    </xf>
    <xf numFmtId="0" fontId="0" fillId="11" borderId="10" xfId="0" applyFill="1" applyBorder="1" applyAlignment="1">
      <alignment horizontal="center" vertical="center" wrapText="1"/>
    </xf>
    <xf numFmtId="0" fontId="0" fillId="11" borderId="11" xfId="0" applyFill="1" applyBorder="1" applyAlignment="1">
      <alignment horizontal="center" vertical="center" wrapText="1"/>
    </xf>
    <xf numFmtId="0" fontId="12" fillId="11" borderId="49" xfId="0" applyFont="1" applyFill="1" applyBorder="1" applyAlignment="1">
      <alignment horizontal="center" vertical="center" wrapText="1"/>
    </xf>
    <xf numFmtId="0" fontId="12" fillId="11" borderId="51" xfId="0" applyFont="1" applyFill="1" applyBorder="1" applyAlignment="1">
      <alignment horizontal="center" vertical="center" wrapText="1"/>
    </xf>
    <xf numFmtId="0" fontId="12" fillId="13" borderId="1" xfId="0" applyFont="1" applyFill="1" applyBorder="1" applyAlignment="1">
      <alignment horizontal="center"/>
    </xf>
    <xf numFmtId="0" fontId="12" fillId="13" borderId="4" xfId="0" applyFont="1" applyFill="1" applyBorder="1" applyAlignment="1">
      <alignment horizontal="center"/>
    </xf>
    <xf numFmtId="0" fontId="0" fillId="11" borderId="8" xfId="0" applyFill="1" applyBorder="1" applyAlignment="1">
      <alignment horizontal="center" vertical="center" wrapText="1"/>
    </xf>
    <xf numFmtId="0" fontId="0" fillId="11" borderId="13" xfId="0" applyFill="1" applyBorder="1" applyAlignment="1">
      <alignment horizontal="center" vertical="center"/>
    </xf>
    <xf numFmtId="0" fontId="0" fillId="11" borderId="10" xfId="0" applyFill="1" applyBorder="1" applyAlignment="1">
      <alignment horizontal="center" vertical="center"/>
    </xf>
    <xf numFmtId="0" fontId="0" fillId="11" borderId="11" xfId="0" applyFill="1" applyBorder="1" applyAlignment="1">
      <alignment horizontal="center" vertical="center"/>
    </xf>
    <xf numFmtId="0" fontId="12" fillId="14" borderId="1" xfId="0" applyFont="1" applyFill="1" applyBorder="1" applyAlignment="1">
      <alignment horizontal="center"/>
    </xf>
    <xf numFmtId="0" fontId="12" fillId="14" borderId="4" xfId="0" applyFont="1" applyFill="1" applyBorder="1" applyAlignment="1">
      <alignment horizontal="center"/>
    </xf>
    <xf numFmtId="0" fontId="0" fillId="11" borderId="39" xfId="0" applyFill="1" applyBorder="1" applyAlignment="1">
      <alignment horizontal="center" vertical="center"/>
    </xf>
    <xf numFmtId="0" fontId="12" fillId="15" borderId="1" xfId="0" applyFont="1" applyFill="1" applyBorder="1" applyAlignment="1">
      <alignment horizontal="center"/>
    </xf>
    <xf numFmtId="0" fontId="12" fillId="15" borderId="4" xfId="0" applyFont="1" applyFill="1" applyBorder="1" applyAlignment="1">
      <alignment horizontal="center"/>
    </xf>
    <xf numFmtId="9" fontId="7" fillId="0" borderId="42" xfId="1" applyFont="1" applyFill="1" applyBorder="1" applyAlignment="1">
      <alignment horizontal="center"/>
    </xf>
    <xf numFmtId="9" fontId="7" fillId="0" borderId="45" xfId="1" applyFont="1" applyFill="1" applyBorder="1" applyAlignment="1">
      <alignment horizontal="center"/>
    </xf>
    <xf numFmtId="0" fontId="7" fillId="0" borderId="42" xfId="0" applyFont="1" applyFill="1" applyBorder="1" applyAlignment="1">
      <alignment horizontal="center"/>
    </xf>
    <xf numFmtId="0" fontId="7" fillId="0" borderId="77" xfId="0" applyFont="1" applyFill="1" applyBorder="1" applyAlignment="1">
      <alignment horizontal="center"/>
    </xf>
    <xf numFmtId="9" fontId="7" fillId="0" borderId="42" xfId="0" applyNumberFormat="1" applyFont="1" applyFill="1" applyBorder="1" applyAlignment="1">
      <alignment horizontal="right"/>
    </xf>
    <xf numFmtId="9" fontId="7" fillId="0" borderId="45" xfId="0" applyNumberFormat="1" applyFont="1" applyFill="1" applyBorder="1" applyAlignment="1">
      <alignment horizontal="right"/>
    </xf>
    <xf numFmtId="9" fontId="7" fillId="0" borderId="77" xfId="0" applyNumberFormat="1" applyFont="1" applyFill="1" applyBorder="1" applyAlignment="1">
      <alignment horizontal="right"/>
    </xf>
    <xf numFmtId="10" fontId="8" fillId="0" borderId="78" xfId="0" applyNumberFormat="1" applyFont="1" applyFill="1" applyBorder="1" applyAlignment="1">
      <alignment horizontal="center" vertical="center" wrapText="1"/>
    </xf>
    <xf numFmtId="10" fontId="8" fillId="0" borderId="27" xfId="0" applyNumberFormat="1" applyFont="1" applyFill="1" applyBorder="1" applyAlignment="1">
      <alignment horizontal="center" vertical="center" wrapText="1"/>
    </xf>
    <xf numFmtId="10" fontId="8" fillId="0" borderId="38" xfId="0" applyNumberFormat="1" applyFont="1" applyFill="1" applyBorder="1" applyAlignment="1">
      <alignment horizontal="center" vertical="center" wrapText="1"/>
    </xf>
    <xf numFmtId="4" fontId="8" fillId="0" borderId="78" xfId="0" applyNumberFormat="1" applyFont="1" applyFill="1" applyBorder="1" applyAlignment="1">
      <alignment horizontal="center" vertical="center" wrapText="1"/>
    </xf>
    <xf numFmtId="0" fontId="7" fillId="0" borderId="42" xfId="8" applyFont="1" applyBorder="1" applyAlignment="1">
      <alignment horizontal="center" vertical="center"/>
    </xf>
    <xf numFmtId="0" fontId="7" fillId="0" borderId="77" xfId="8" applyFont="1" applyBorder="1" applyAlignment="1">
      <alignment horizontal="center" vertical="center"/>
    </xf>
    <xf numFmtId="0" fontId="7" fillId="0" borderId="45" xfId="8" applyFont="1" applyBorder="1" applyAlignment="1">
      <alignment horizontal="center" vertical="center"/>
    </xf>
    <xf numFmtId="4" fontId="8" fillId="0" borderId="65" xfId="0" applyNumberFormat="1" applyFont="1" applyFill="1" applyBorder="1" applyAlignment="1">
      <alignment horizontal="center" vertical="center" wrapText="1"/>
    </xf>
    <xf numFmtId="4" fontId="8" fillId="0" borderId="29" xfId="0" applyNumberFormat="1" applyFont="1" applyFill="1" applyBorder="1" applyAlignment="1">
      <alignment horizontal="center" vertical="center" wrapText="1"/>
    </xf>
    <xf numFmtId="4" fontId="8" fillId="0" borderId="66" xfId="0" applyNumberFormat="1" applyFont="1" applyFill="1" applyBorder="1" applyAlignment="1">
      <alignment horizontal="center" vertical="center" wrapText="1"/>
    </xf>
    <xf numFmtId="4" fontId="8" fillId="0" borderId="30" xfId="0" applyNumberFormat="1" applyFont="1" applyFill="1" applyBorder="1" applyAlignment="1">
      <alignment horizontal="center" vertical="center" wrapText="1"/>
    </xf>
    <xf numFmtId="4" fontId="8" fillId="0" borderId="27" xfId="0" applyNumberFormat="1" applyFont="1" applyFill="1" applyBorder="1" applyAlignment="1">
      <alignment horizontal="center" vertical="center" wrapText="1"/>
    </xf>
    <xf numFmtId="4" fontId="8" fillId="0" borderId="38" xfId="0" applyNumberFormat="1" applyFont="1" applyFill="1" applyBorder="1" applyAlignment="1">
      <alignment horizontal="center" vertical="center" wrapText="1"/>
    </xf>
    <xf numFmtId="4" fontId="8" fillId="0" borderId="5" xfId="0" applyNumberFormat="1" applyFont="1" applyFill="1" applyBorder="1" applyAlignment="1">
      <alignment horizontal="center" vertical="center" wrapText="1"/>
    </xf>
    <xf numFmtId="0" fontId="7" fillId="0" borderId="27" xfId="8" applyFont="1" applyFill="1" applyBorder="1" applyAlignment="1">
      <alignment horizontal="center" vertical="center" wrapText="1"/>
    </xf>
    <xf numFmtId="0" fontId="7" fillId="0" borderId="65" xfId="8" applyFont="1" applyFill="1" applyBorder="1" applyAlignment="1">
      <alignment horizontal="center" vertical="center"/>
    </xf>
    <xf numFmtId="0" fontId="7" fillId="0" borderId="78" xfId="8" applyFont="1" applyFill="1" applyBorder="1" applyAlignment="1">
      <alignment horizontal="center" vertical="center"/>
    </xf>
    <xf numFmtId="10" fontId="8" fillId="0" borderId="105" xfId="0" applyNumberFormat="1" applyFont="1" applyFill="1" applyBorder="1" applyAlignment="1">
      <alignment horizontal="center" vertical="center" wrapText="1"/>
    </xf>
    <xf numFmtId="0" fontId="7" fillId="0" borderId="13" xfId="8" applyFont="1" applyFill="1" applyBorder="1" applyAlignment="1">
      <alignment horizontal="center" vertical="center" wrapText="1"/>
    </xf>
    <xf numFmtId="0" fontId="7" fillId="0" borderId="22" xfId="8" applyFont="1" applyFill="1" applyBorder="1" applyAlignment="1">
      <alignment horizontal="center" vertical="center" wrapText="1"/>
    </xf>
    <xf numFmtId="0" fontId="7" fillId="0" borderId="10" xfId="8" applyFont="1" applyFill="1" applyBorder="1" applyAlignment="1">
      <alignment horizontal="center" vertical="center"/>
    </xf>
    <xf numFmtId="0" fontId="7" fillId="0" borderId="23" xfId="8" applyFont="1" applyFill="1" applyBorder="1" applyAlignment="1">
      <alignment horizontal="center" vertical="center"/>
    </xf>
    <xf numFmtId="0" fontId="7" fillId="0" borderId="10" xfId="8" applyFont="1" applyFill="1" applyBorder="1" applyAlignment="1">
      <alignment horizontal="center" vertical="center" wrapText="1"/>
    </xf>
    <xf numFmtId="0" fontId="7" fillId="0" borderId="23" xfId="8" applyFont="1" applyFill="1" applyBorder="1" applyAlignment="1">
      <alignment horizontal="center" vertical="center" wrapText="1"/>
    </xf>
    <xf numFmtId="0" fontId="7" fillId="0" borderId="15" xfId="8" applyFont="1" applyFill="1" applyBorder="1" applyAlignment="1">
      <alignment horizontal="center" vertical="center"/>
    </xf>
    <xf numFmtId="0" fontId="7" fillId="0" borderId="26" xfId="8" applyFont="1" applyFill="1" applyBorder="1" applyAlignment="1">
      <alignment horizontal="center" vertical="center"/>
    </xf>
    <xf numFmtId="9" fontId="0" fillId="0" borderId="1" xfId="0" applyNumberFormat="1" applyBorder="1" applyAlignment="1">
      <alignment horizontal="right"/>
    </xf>
    <xf numFmtId="9" fontId="0" fillId="0" borderId="3" xfId="0" applyNumberFormat="1" applyBorder="1" applyAlignment="1">
      <alignment horizontal="right"/>
    </xf>
    <xf numFmtId="9" fontId="0" fillId="0" borderId="4" xfId="0" applyNumberFormat="1" applyBorder="1" applyAlignment="1">
      <alignment horizontal="right"/>
    </xf>
    <xf numFmtId="0" fontId="0" fillId="0" borderId="13" xfId="0" applyBorder="1" applyAlignment="1">
      <alignment horizontal="center" vertical="center" wrapText="1"/>
    </xf>
    <xf numFmtId="0" fontId="0" fillId="0" borderId="22" xfId="0" applyBorder="1" applyAlignment="1">
      <alignment horizontal="center" vertical="center" wrapText="1"/>
    </xf>
    <xf numFmtId="0" fontId="0" fillId="0" borderId="15" xfId="0" applyBorder="1" applyAlignment="1">
      <alignment horizontal="center" vertical="center" wrapText="1"/>
    </xf>
    <xf numFmtId="0" fontId="0" fillId="0" borderId="26" xfId="0" applyBorder="1" applyAlignment="1">
      <alignment horizontal="center" vertical="center" wrapText="1"/>
    </xf>
    <xf numFmtId="0" fontId="0" fillId="0" borderId="44" xfId="0" applyBorder="1" applyAlignment="1">
      <alignment horizontal="center"/>
    </xf>
    <xf numFmtId="0" fontId="0" fillId="0" borderId="17" xfId="0" applyBorder="1" applyAlignment="1">
      <alignment horizontal="center"/>
    </xf>
    <xf numFmtId="0" fontId="0" fillId="0" borderId="43" xfId="0" applyBorder="1" applyAlignment="1">
      <alignment horizontal="center"/>
    </xf>
    <xf numFmtId="0" fontId="0" fillId="0" borderId="12" xfId="0" applyBorder="1" applyAlignment="1">
      <alignment horizontal="center"/>
    </xf>
    <xf numFmtId="0" fontId="12" fillId="0" borderId="1" xfId="0" applyFont="1" applyBorder="1" applyAlignment="1">
      <alignment horizontal="center"/>
    </xf>
    <xf numFmtId="0" fontId="12" fillId="0" borderId="4" xfId="0" applyFont="1" applyBorder="1" applyAlignment="1">
      <alignment horizontal="center"/>
    </xf>
    <xf numFmtId="0" fontId="0" fillId="0" borderId="10" xfId="0" applyBorder="1" applyAlignment="1">
      <alignment horizontal="center"/>
    </xf>
    <xf numFmtId="0" fontId="0" fillId="0" borderId="15" xfId="0" applyBorder="1" applyAlignment="1">
      <alignment horizontal="center"/>
    </xf>
    <xf numFmtId="0" fontId="0" fillId="0" borderId="9" xfId="0" applyBorder="1" applyAlignment="1">
      <alignment horizontal="center"/>
    </xf>
    <xf numFmtId="0" fontId="0" fillId="0" borderId="13" xfId="0" applyBorder="1" applyAlignment="1">
      <alignment horizontal="center"/>
    </xf>
    <xf numFmtId="0" fontId="7" fillId="0" borderId="49" xfId="8" applyFont="1" applyBorder="1" applyAlignment="1">
      <alignment horizontal="center" vertical="center"/>
    </xf>
    <xf numFmtId="0" fontId="7" fillId="0" borderId="50" xfId="8" applyFont="1" applyBorder="1" applyAlignment="1">
      <alignment horizontal="center" vertical="center"/>
    </xf>
    <xf numFmtId="0" fontId="7" fillId="0" borderId="51" xfId="8" applyFont="1" applyBorder="1" applyAlignment="1">
      <alignment horizontal="center" vertical="center"/>
    </xf>
    <xf numFmtId="0" fontId="8" fillId="0" borderId="35" xfId="8" applyFont="1" applyBorder="1" applyAlignment="1">
      <alignment horizontal="center" vertical="center" wrapText="1"/>
    </xf>
    <xf numFmtId="0" fontId="8" fillId="0" borderId="63" xfId="8" applyFont="1" applyBorder="1" applyAlignment="1">
      <alignment horizontal="center" vertical="center" wrapText="1"/>
    </xf>
    <xf numFmtId="0" fontId="8" fillId="0" borderId="33"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4" xfId="8" applyFont="1" applyBorder="1" applyAlignment="1">
      <alignment horizontal="center" vertical="center" wrapText="1"/>
    </xf>
    <xf numFmtId="0" fontId="8" fillId="0" borderId="30" xfId="8" applyFont="1" applyBorder="1" applyAlignment="1">
      <alignment horizontal="center" vertical="center" wrapText="1"/>
    </xf>
    <xf numFmtId="0" fontId="8" fillId="0" borderId="34" xfId="8" applyFont="1" applyBorder="1" applyAlignment="1">
      <alignment horizontal="center" vertical="center"/>
    </xf>
    <xf numFmtId="0" fontId="8" fillId="0" borderId="30" xfId="8" applyFont="1" applyBorder="1" applyAlignment="1">
      <alignment horizontal="center" vertical="center"/>
    </xf>
    <xf numFmtId="0" fontId="7" fillId="0" borderId="9" xfId="8" applyFont="1" applyBorder="1" applyAlignment="1">
      <alignment horizontal="center"/>
    </xf>
    <xf numFmtId="0" fontId="7" fillId="0" borderId="10" xfId="8" applyFont="1" applyBorder="1" applyAlignment="1">
      <alignment horizontal="center"/>
    </xf>
    <xf numFmtId="0" fontId="7" fillId="0" borderId="11" xfId="8" applyFont="1" applyBorder="1" applyAlignment="1">
      <alignment horizontal="center"/>
    </xf>
    <xf numFmtId="0" fontId="7" fillId="0" borderId="13" xfId="8" applyFont="1" applyBorder="1" applyAlignment="1">
      <alignment horizontal="center"/>
    </xf>
    <xf numFmtId="0" fontId="7" fillId="0" borderId="15" xfId="8" applyFont="1" applyBorder="1" applyAlignment="1">
      <alignment horizontal="center"/>
    </xf>
    <xf numFmtId="0" fontId="8" fillId="0" borderId="37" xfId="8" applyFont="1" applyBorder="1" applyAlignment="1">
      <alignment horizontal="center" vertical="center"/>
    </xf>
    <xf numFmtId="0" fontId="8" fillId="0" borderId="31" xfId="8" applyFont="1" applyBorder="1" applyAlignment="1">
      <alignment horizontal="center" vertical="center"/>
    </xf>
    <xf numFmtId="0" fontId="8" fillId="0" borderId="33" xfId="8" applyFont="1" applyBorder="1" applyAlignment="1">
      <alignment horizontal="center" vertical="center"/>
    </xf>
    <xf numFmtId="0" fontId="8" fillId="0" borderId="38" xfId="8" applyFont="1" applyBorder="1" applyAlignment="1">
      <alignment horizontal="center" vertical="center"/>
    </xf>
    <xf numFmtId="0" fontId="8" fillId="0" borderId="35" xfId="8" applyFont="1" applyBorder="1" applyAlignment="1">
      <alignment horizontal="center" vertical="center"/>
    </xf>
    <xf numFmtId="0" fontId="8" fillId="0" borderId="32" xfId="8" applyFont="1" applyBorder="1" applyAlignment="1">
      <alignment horizontal="center" vertical="center"/>
    </xf>
    <xf numFmtId="0" fontId="7" fillId="0" borderId="56" xfId="8" applyFont="1" applyBorder="1" applyAlignment="1">
      <alignment horizontal="center"/>
    </xf>
    <xf numFmtId="0" fontId="7" fillId="0" borderId="57" xfId="8" applyFont="1" applyBorder="1" applyAlignment="1">
      <alignment horizontal="center"/>
    </xf>
    <xf numFmtId="0" fontId="7" fillId="0" borderId="105" xfId="8" applyFont="1" applyBorder="1" applyAlignment="1">
      <alignment horizontal="center"/>
    </xf>
    <xf numFmtId="0" fontId="8" fillId="0" borderId="36" xfId="8" applyFont="1" applyBorder="1" applyAlignment="1">
      <alignment horizontal="center" vertical="center"/>
    </xf>
    <xf numFmtId="0" fontId="8" fillId="0" borderId="29" xfId="8" applyFont="1" applyBorder="1" applyAlignment="1">
      <alignment horizontal="center" vertical="center"/>
    </xf>
    <xf numFmtId="0" fontId="7" fillId="0" borderId="6" xfId="8" applyFont="1" applyBorder="1" applyAlignment="1">
      <alignment horizontal="center" vertical="center"/>
    </xf>
    <xf numFmtId="0" fontId="7" fillId="0" borderId="28" xfId="8" applyFont="1" applyBorder="1" applyAlignment="1">
      <alignment horizontal="center" vertical="center"/>
    </xf>
    <xf numFmtId="0" fontId="7" fillId="0" borderId="31" xfId="8" applyFont="1" applyBorder="1" applyAlignment="1">
      <alignment horizontal="center" vertical="center"/>
    </xf>
    <xf numFmtId="0" fontId="7" fillId="0" borderId="5" xfId="8" applyFont="1" applyBorder="1" applyAlignment="1">
      <alignment horizontal="center" vertical="center"/>
    </xf>
    <xf numFmtId="0" fontId="7" fillId="0" borderId="27" xfId="8" applyFont="1" applyBorder="1" applyAlignment="1">
      <alignment horizontal="center" vertical="center"/>
    </xf>
    <xf numFmtId="0" fontId="7" fillId="0" borderId="38" xfId="8" applyFont="1" applyBorder="1" applyAlignment="1">
      <alignment horizontal="center" vertical="center"/>
    </xf>
    <xf numFmtId="0" fontId="7" fillId="0" borderId="49" xfId="8" applyFont="1" applyBorder="1" applyAlignment="1">
      <alignment horizontal="center" vertical="center" wrapText="1"/>
    </xf>
    <xf numFmtId="0" fontId="7" fillId="0" borderId="50" xfId="8" applyFont="1" applyBorder="1" applyAlignment="1">
      <alignment horizontal="center" vertical="center" wrapText="1"/>
    </xf>
    <xf numFmtId="0" fontId="7" fillId="0" borderId="51" xfId="8" applyFont="1" applyBorder="1" applyAlignment="1">
      <alignment horizontal="center" vertical="center" wrapText="1"/>
    </xf>
    <xf numFmtId="0" fontId="3" fillId="0" borderId="0" xfId="5" applyFont="1" applyAlignment="1">
      <alignment horizontal="left" vertical="center"/>
    </xf>
    <xf numFmtId="0" fontId="5" fillId="0" borderId="56" xfId="12" applyFont="1" applyBorder="1" applyAlignment="1">
      <alignment horizontal="center" vertical="center"/>
    </xf>
    <xf numFmtId="0" fontId="5" fillId="0" borderId="71" xfId="12" applyFont="1" applyBorder="1" applyAlignment="1">
      <alignment horizontal="center" vertical="center"/>
    </xf>
    <xf numFmtId="0" fontId="45" fillId="0" borderId="6" xfId="12" applyFont="1" applyBorder="1" applyAlignment="1">
      <alignment horizontal="center" vertical="center"/>
    </xf>
    <xf numFmtId="0" fontId="45" fillId="0" borderId="31" xfId="12" applyFont="1" applyBorder="1" applyAlignment="1">
      <alignment horizontal="center" vertical="center"/>
    </xf>
    <xf numFmtId="0" fontId="45" fillId="0" borderId="6" xfId="12" applyFont="1" applyFill="1" applyBorder="1" applyAlignment="1">
      <alignment horizontal="center" vertical="center"/>
    </xf>
    <xf numFmtId="0" fontId="45" fillId="0" borderId="31" xfId="12" applyFont="1" applyFill="1" applyBorder="1" applyAlignment="1">
      <alignment horizontal="center" vertical="center"/>
    </xf>
    <xf numFmtId="0" fontId="39" fillId="0" borderId="15" xfId="5" applyFont="1" applyBorder="1" applyAlignment="1">
      <alignment horizontal="center" vertical="center" wrapText="1"/>
    </xf>
    <xf numFmtId="0" fontId="39" fillId="0" borderId="37" xfId="5" applyFont="1" applyBorder="1" applyAlignment="1">
      <alignment horizontal="center" vertical="center" wrapText="1"/>
    </xf>
    <xf numFmtId="0" fontId="45" fillId="0" borderId="71" xfId="5" applyFont="1" applyBorder="1" applyAlignment="1">
      <alignment horizontal="center" vertical="center"/>
    </xf>
    <xf numFmtId="0" fontId="45" fillId="0" borderId="29" xfId="5" applyFont="1" applyBorder="1" applyAlignment="1">
      <alignment horizontal="center" vertical="center"/>
    </xf>
    <xf numFmtId="0" fontId="39" fillId="0" borderId="21" xfId="5" applyFont="1" applyBorder="1" applyAlignment="1">
      <alignment horizontal="left" vertical="center" indent="1"/>
    </xf>
    <xf numFmtId="0" fontId="39" fillId="0" borderId="54" xfId="5" applyFont="1" applyBorder="1" applyAlignment="1">
      <alignment horizontal="left" vertical="center" indent="1"/>
    </xf>
    <xf numFmtId="0" fontId="39" fillId="0" borderId="16" xfId="5" applyFont="1" applyBorder="1" applyAlignment="1">
      <alignment horizontal="left" vertical="center" indent="1"/>
    </xf>
    <xf numFmtId="0" fontId="39" fillId="0" borderId="13" xfId="5" applyFont="1" applyBorder="1" applyAlignment="1">
      <alignment horizontal="center" vertical="center" wrapText="1"/>
    </xf>
    <xf numFmtId="0" fontId="39" fillId="0" borderId="33" xfId="5" applyFont="1" applyBorder="1" applyAlignment="1">
      <alignment horizontal="center" vertical="center" wrapText="1"/>
    </xf>
    <xf numFmtId="0" fontId="39" fillId="0" borderId="10" xfId="5" applyFont="1" applyBorder="1" applyAlignment="1">
      <alignment horizontal="center" vertical="center" wrapText="1"/>
    </xf>
    <xf numFmtId="0" fontId="39" fillId="0" borderId="34" xfId="5" applyFont="1" applyBorder="1" applyAlignment="1">
      <alignment horizontal="center" vertical="center" wrapText="1"/>
    </xf>
    <xf numFmtId="0" fontId="5" fillId="0" borderId="42" xfId="0" applyFont="1" applyBorder="1" applyAlignment="1">
      <alignment horizontal="center" vertical="center"/>
    </xf>
    <xf numFmtId="0" fontId="5" fillId="0" borderId="45" xfId="0" applyFont="1" applyBorder="1" applyAlignment="1">
      <alignment horizontal="center" vertical="center"/>
    </xf>
    <xf numFmtId="0" fontId="12" fillId="0" borderId="107" xfId="0" applyFont="1" applyBorder="1" applyAlignment="1">
      <alignment horizontal="center" vertical="center" wrapText="1"/>
    </xf>
    <xf numFmtId="0" fontId="12" fillId="0" borderId="8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3" xfId="0" applyFont="1" applyBorder="1" applyAlignment="1">
      <alignment horizontal="center"/>
    </xf>
    <xf numFmtId="0" fontId="12" fillId="0" borderId="11" xfId="0" applyFont="1" applyBorder="1" applyAlignment="1">
      <alignment horizontal="center"/>
    </xf>
    <xf numFmtId="0" fontId="12" fillId="0" borderId="15" xfId="0" applyFont="1" applyBorder="1" applyAlignment="1">
      <alignment horizontal="center"/>
    </xf>
    <xf numFmtId="0" fontId="12" fillId="0" borderId="9" xfId="0" applyFont="1" applyBorder="1" applyAlignment="1">
      <alignment horizontal="center"/>
    </xf>
    <xf numFmtId="0" fontId="12" fillId="0" borderId="7" xfId="0" applyFont="1" applyBorder="1" applyAlignment="1">
      <alignment horizontal="center"/>
    </xf>
    <xf numFmtId="0" fontId="12" fillId="0" borderId="39" xfId="0" applyFont="1" applyBorder="1" applyAlignment="1">
      <alignment horizontal="center"/>
    </xf>
    <xf numFmtId="0" fontId="12" fillId="0" borderId="42" xfId="0" applyFont="1" applyBorder="1" applyAlignment="1">
      <alignment horizontal="center" vertical="center" wrapText="1"/>
    </xf>
    <xf numFmtId="0" fontId="12" fillId="0" borderId="45" xfId="0" applyFont="1" applyBorder="1" applyAlignment="1">
      <alignment horizontal="center" vertical="center" wrapText="1"/>
    </xf>
    <xf numFmtId="0" fontId="0" fillId="0" borderId="0" xfId="0"/>
    <xf numFmtId="0" fontId="12" fillId="0" borderId="3" xfId="0" applyFont="1" applyBorder="1" applyAlignment="1">
      <alignment horizontal="center"/>
    </xf>
    <xf numFmtId="0" fontId="12" fillId="0" borderId="41" xfId="0" applyFont="1" applyBorder="1" applyAlignment="1">
      <alignment horizontal="center"/>
    </xf>
    <xf numFmtId="0" fontId="47" fillId="0" borderId="0" xfId="5" applyFont="1" applyAlignment="1">
      <alignment horizontal="left" vertical="center" wrapText="1"/>
    </xf>
    <xf numFmtId="0" fontId="12" fillId="0" borderId="42" xfId="0" applyFont="1" applyBorder="1" applyAlignment="1">
      <alignment horizontal="center"/>
    </xf>
    <xf numFmtId="0" fontId="12" fillId="0" borderId="77" xfId="0" applyFont="1" applyBorder="1" applyAlignment="1">
      <alignment horizontal="center"/>
    </xf>
    <xf numFmtId="0" fontId="12" fillId="0" borderId="45" xfId="0" applyFont="1" applyBorder="1" applyAlignment="1">
      <alignment horizontal="center"/>
    </xf>
    <xf numFmtId="0" fontId="12" fillId="0" borderId="49" xfId="0" applyFont="1" applyBorder="1" applyAlignment="1">
      <alignment horizontal="center" vertical="center"/>
    </xf>
    <xf numFmtId="0" fontId="12" fillId="0" borderId="51" xfId="0" applyFont="1" applyBorder="1" applyAlignment="1">
      <alignment horizontal="center" vertical="center"/>
    </xf>
    <xf numFmtId="0" fontId="12" fillId="0" borderId="49" xfId="0" applyFont="1" applyBorder="1" applyAlignment="1">
      <alignment horizontal="center" vertical="center" wrapText="1"/>
    </xf>
    <xf numFmtId="0" fontId="12" fillId="0" borderId="51" xfId="0" applyFont="1" applyBorder="1" applyAlignment="1">
      <alignment horizontal="center" vertical="center" wrapText="1"/>
    </xf>
    <xf numFmtId="0" fontId="7" fillId="0" borderId="42" xfId="5" applyFont="1" applyBorder="1" applyAlignment="1">
      <alignment horizontal="center" vertical="center"/>
    </xf>
    <xf numFmtId="0" fontId="7" fillId="0" borderId="45" xfId="5" applyFont="1" applyBorder="1" applyAlignment="1">
      <alignment horizontal="center" vertical="center"/>
    </xf>
    <xf numFmtId="0" fontId="48" fillId="0" borderId="0" xfId="5" applyFont="1" applyAlignment="1">
      <alignment horizontal="left" vertical="center" wrapText="1"/>
    </xf>
    <xf numFmtId="0" fontId="7" fillId="0" borderId="13" xfId="5" applyFont="1" applyBorder="1" applyAlignment="1">
      <alignment horizontal="center" vertical="center" wrapText="1"/>
    </xf>
    <xf numFmtId="0" fontId="7" fillId="0" borderId="22" xfId="5" applyFont="1" applyBorder="1" applyAlignment="1">
      <alignment horizontal="center" vertical="center" wrapText="1"/>
    </xf>
    <xf numFmtId="0" fontId="7" fillId="0" borderId="15" xfId="5" applyFont="1" applyBorder="1" applyAlignment="1">
      <alignment horizontal="center" vertical="center" wrapText="1"/>
    </xf>
    <xf numFmtId="0" fontId="7" fillId="0" borderId="26" xfId="5" applyFont="1" applyBorder="1" applyAlignment="1">
      <alignment horizontal="center" vertical="center" wrapText="1"/>
    </xf>
    <xf numFmtId="0" fontId="7" fillId="0" borderId="9" xfId="5" applyFont="1" applyFill="1" applyBorder="1" applyAlignment="1">
      <alignment horizontal="center" vertical="center" wrapText="1"/>
    </xf>
    <xf numFmtId="0" fontId="7" fillId="0" borderId="11" xfId="5" applyFont="1" applyFill="1" applyBorder="1" applyAlignment="1">
      <alignment horizontal="center" vertical="center" wrapText="1"/>
    </xf>
    <xf numFmtId="0" fontId="7" fillId="0" borderId="49" xfId="5" applyFont="1" applyBorder="1" applyAlignment="1">
      <alignment horizontal="center" vertical="center" wrapText="1"/>
    </xf>
    <xf numFmtId="0" fontId="7" fillId="0" borderId="51" xfId="5" applyFont="1" applyBorder="1" applyAlignment="1">
      <alignment horizontal="center" vertical="center" wrapText="1"/>
    </xf>
    <xf numFmtId="0" fontId="7" fillId="0" borderId="13" xfId="8" applyFont="1" applyBorder="1" applyAlignment="1">
      <alignment horizontal="center" vertical="center" wrapText="1"/>
    </xf>
    <xf numFmtId="0" fontId="7" fillId="0" borderId="22" xfId="8" applyFont="1" applyBorder="1" applyAlignment="1">
      <alignment horizontal="center" vertical="center" wrapText="1"/>
    </xf>
    <xf numFmtId="0" fontId="7" fillId="0" borderId="15" xfId="8" applyFont="1" applyBorder="1" applyAlignment="1">
      <alignment horizontal="center" vertical="center" wrapText="1"/>
    </xf>
    <xf numFmtId="0" fontId="7" fillId="0" borderId="26" xfId="8" applyFont="1" applyBorder="1" applyAlignment="1">
      <alignment horizontal="center" vertical="center" wrapText="1"/>
    </xf>
    <xf numFmtId="0" fontId="7" fillId="0" borderId="9" xfId="8" applyFont="1" applyFill="1" applyBorder="1" applyAlignment="1">
      <alignment horizontal="center" vertical="center" wrapText="1"/>
    </xf>
    <xf numFmtId="0" fontId="7" fillId="0" borderId="11" xfId="8" applyFont="1" applyFill="1" applyBorder="1" applyAlignment="1">
      <alignment horizontal="center" vertical="center" wrapText="1"/>
    </xf>
    <xf numFmtId="0" fontId="7" fillId="0" borderId="6" xfId="8" applyFont="1" applyBorder="1" applyAlignment="1">
      <alignment horizontal="center" vertical="center" wrapText="1"/>
    </xf>
    <xf numFmtId="0" fontId="7" fillId="0" borderId="31" xfId="8" applyFont="1" applyBorder="1" applyAlignment="1">
      <alignment horizontal="center" vertical="center" wrapText="1"/>
    </xf>
  </cellXfs>
  <cellStyles count="13">
    <cellStyle name="Hypertextový odkaz" xfId="9" builtinId="8"/>
    <cellStyle name="Nadpis - excel" xfId="2"/>
    <cellStyle name="Normální" xfId="0" builtinId="0"/>
    <cellStyle name="Normální 10" xfId="3"/>
    <cellStyle name="Normální 11 2" xfId="8"/>
    <cellStyle name="normální 14 2 2" xfId="5"/>
    <cellStyle name="Normální 2" xfId="4"/>
    <cellStyle name="normální 2 5" xfId="6"/>
    <cellStyle name="normální_Tab.1-bilance PV" xfId="11"/>
    <cellStyle name="normální_Tabulka 1-Bilanční-návrh 13.1.04" xfId="10"/>
    <cellStyle name="normální_Ubyt a strav 2002" xfId="12"/>
    <cellStyle name="Procenta" xfId="1" builtinId="5"/>
    <cellStyle name="Procenta 3 2" xfId="7"/>
  </cellStyles>
  <dxfs count="0"/>
  <tableStyles count="0" defaultTableStyle="TableStyleMedium2" defaultPivotStyle="PivotStyleLight16"/>
  <colors>
    <mruColors>
      <color rgb="FF9BC2E6"/>
      <color rgb="FFF4B084"/>
      <color rgb="FFFFD966"/>
      <color rgb="FFA9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9</xdr:row>
      <xdr:rowOff>0</xdr:rowOff>
    </xdr:from>
    <xdr:ext cx="9525" cy="316624"/>
    <xdr:pic>
      <xdr:nvPicPr>
        <xdr:cNvPr id="2" name="Picture 1" descr="https://sims.ics.muni.cz/sims_is/img/bod.gif">
          <a:extLst>
            <a:ext uri="{FF2B5EF4-FFF2-40B4-BE49-F238E27FC236}">
              <a16:creationId xmlns=""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52675"/>
          <a:ext cx="9525" cy="316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xdr:row>
      <xdr:rowOff>0</xdr:rowOff>
    </xdr:from>
    <xdr:ext cx="9525" cy="316624"/>
    <xdr:pic>
      <xdr:nvPicPr>
        <xdr:cNvPr id="3" name="Picture 2" descr="https://sims.ics.muni.cz/sims_is/img/bod.gif">
          <a:extLst>
            <a:ext uri="{FF2B5EF4-FFF2-40B4-BE49-F238E27FC236}">
              <a16:creationId xmlns=""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52675"/>
          <a:ext cx="9525" cy="316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22"/>
  <sheetViews>
    <sheetView tabSelected="1" zoomScale="85" zoomScaleNormal="85" workbookViewId="0"/>
  </sheetViews>
  <sheetFormatPr defaultRowHeight="15" x14ac:dyDescent="0.25"/>
  <cols>
    <col min="1" max="1" width="6.28515625" customWidth="1"/>
    <col min="2" max="2" width="69.7109375" customWidth="1"/>
  </cols>
  <sheetData>
    <row r="1" spans="1:8" ht="27.75" x14ac:dyDescent="0.4">
      <c r="A1" s="870" t="s">
        <v>294</v>
      </c>
      <c r="B1" s="871"/>
      <c r="C1" s="871"/>
      <c r="D1" s="871"/>
      <c r="E1" s="871"/>
      <c r="F1" s="869"/>
      <c r="G1" s="869"/>
      <c r="H1" s="869"/>
    </row>
    <row r="2" spans="1:8" x14ac:dyDescent="0.25">
      <c r="A2" s="869"/>
      <c r="B2" s="869"/>
      <c r="C2" s="869"/>
      <c r="D2" s="869"/>
      <c r="E2" s="869"/>
      <c r="F2" s="869"/>
      <c r="G2" s="869"/>
      <c r="H2" s="869"/>
    </row>
    <row r="3" spans="1:8" x14ac:dyDescent="0.25">
      <c r="A3" s="872" t="s">
        <v>292</v>
      </c>
      <c r="C3" s="869"/>
      <c r="D3" s="869"/>
      <c r="E3" s="869"/>
      <c r="F3" s="869"/>
      <c r="G3" s="869"/>
      <c r="H3" s="869"/>
    </row>
    <row r="4" spans="1:8" x14ac:dyDescent="0.25">
      <c r="A4" s="873"/>
      <c r="B4" s="869"/>
      <c r="C4" s="869"/>
      <c r="D4" s="869"/>
      <c r="E4" s="869"/>
      <c r="F4" s="869"/>
      <c r="G4" s="869"/>
      <c r="H4" s="869"/>
    </row>
    <row r="5" spans="1:8" x14ac:dyDescent="0.25">
      <c r="A5" s="874">
        <v>1</v>
      </c>
      <c r="B5" s="880" t="s">
        <v>155</v>
      </c>
      <c r="C5" s="879"/>
      <c r="D5" s="869"/>
      <c r="E5" s="869"/>
      <c r="F5" s="869"/>
      <c r="G5" s="869"/>
      <c r="H5" s="869"/>
    </row>
    <row r="6" spans="1:8" x14ac:dyDescent="0.25">
      <c r="A6" s="874" t="s">
        <v>302</v>
      </c>
      <c r="B6" s="880" t="s">
        <v>295</v>
      </c>
      <c r="C6" s="878"/>
      <c r="D6" s="869"/>
      <c r="E6" s="869"/>
      <c r="F6" s="869"/>
      <c r="G6" s="869"/>
      <c r="H6" s="869"/>
    </row>
    <row r="7" spans="1:8" x14ac:dyDescent="0.25">
      <c r="A7" s="874" t="s">
        <v>303</v>
      </c>
      <c r="B7" s="880" t="s">
        <v>296</v>
      </c>
      <c r="C7" s="878"/>
      <c r="D7" s="869"/>
      <c r="E7" s="869"/>
      <c r="F7" s="869"/>
      <c r="G7" s="869"/>
      <c r="H7" s="869"/>
    </row>
    <row r="8" spans="1:8" x14ac:dyDescent="0.25">
      <c r="A8" s="874" t="s">
        <v>304</v>
      </c>
      <c r="B8" s="880" t="s">
        <v>297</v>
      </c>
      <c r="C8" s="878"/>
      <c r="D8" s="869"/>
      <c r="E8" s="869"/>
      <c r="F8" s="869"/>
      <c r="G8" s="869"/>
      <c r="H8" s="869"/>
    </row>
    <row r="9" spans="1:8" x14ac:dyDescent="0.25">
      <c r="A9" s="874" t="s">
        <v>305</v>
      </c>
      <c r="B9" s="880" t="s">
        <v>298</v>
      </c>
      <c r="C9" s="875"/>
      <c r="D9" s="869"/>
      <c r="E9" s="869"/>
      <c r="F9" s="869"/>
      <c r="G9" s="869"/>
      <c r="H9" s="869"/>
    </row>
    <row r="10" spans="1:8" x14ac:dyDescent="0.25">
      <c r="A10" s="874" t="s">
        <v>306</v>
      </c>
      <c r="B10" s="881" t="s">
        <v>299</v>
      </c>
      <c r="C10" s="875"/>
      <c r="D10" s="869"/>
      <c r="E10" s="869"/>
      <c r="F10" s="869"/>
      <c r="G10" s="869"/>
      <c r="H10" s="869"/>
    </row>
    <row r="11" spans="1:8" x14ac:dyDescent="0.25">
      <c r="A11" s="874" t="s">
        <v>307</v>
      </c>
      <c r="B11" s="881" t="s">
        <v>300</v>
      </c>
      <c r="C11" s="875"/>
      <c r="D11" s="869"/>
      <c r="E11" s="869"/>
      <c r="F11" s="869"/>
      <c r="G11" s="869"/>
      <c r="H11" s="869"/>
    </row>
    <row r="12" spans="1:8" x14ac:dyDescent="0.25">
      <c r="A12" s="874">
        <v>4</v>
      </c>
      <c r="B12" s="882" t="s">
        <v>310</v>
      </c>
      <c r="C12" s="875"/>
      <c r="D12" s="869"/>
      <c r="E12" s="869"/>
      <c r="F12" s="869"/>
      <c r="G12" s="869"/>
      <c r="H12" s="869"/>
    </row>
    <row r="13" spans="1:8" x14ac:dyDescent="0.25">
      <c r="A13" s="876">
        <v>5</v>
      </c>
      <c r="B13" s="881" t="s">
        <v>107</v>
      </c>
      <c r="C13" s="878"/>
      <c r="D13" s="869"/>
      <c r="E13" s="869"/>
      <c r="F13" s="869"/>
      <c r="G13" s="869"/>
      <c r="H13" s="869"/>
    </row>
    <row r="14" spans="1:8" x14ac:dyDescent="0.25">
      <c r="A14" s="876">
        <v>6</v>
      </c>
      <c r="B14" s="881" t="s">
        <v>156</v>
      </c>
      <c r="C14" s="878"/>
      <c r="D14" s="869"/>
      <c r="E14" s="869"/>
      <c r="F14" s="869"/>
      <c r="G14" s="869"/>
      <c r="H14" s="869"/>
    </row>
    <row r="15" spans="1:8" x14ac:dyDescent="0.25">
      <c r="A15" s="874">
        <v>7</v>
      </c>
      <c r="B15" s="881" t="s">
        <v>117</v>
      </c>
      <c r="C15" s="878"/>
      <c r="D15" s="869"/>
      <c r="E15" s="869"/>
      <c r="F15" s="869"/>
      <c r="G15" s="869"/>
      <c r="H15" s="869"/>
    </row>
    <row r="16" spans="1:8" x14ac:dyDescent="0.25">
      <c r="A16" s="874">
        <v>8</v>
      </c>
      <c r="B16" s="880" t="s">
        <v>219</v>
      </c>
      <c r="C16" s="878"/>
      <c r="D16" s="869"/>
      <c r="E16" s="869"/>
      <c r="F16" s="869"/>
      <c r="G16" s="869"/>
      <c r="H16" s="869"/>
    </row>
    <row r="17" spans="1:8" x14ac:dyDescent="0.25">
      <c r="A17" s="874">
        <v>9</v>
      </c>
      <c r="B17" s="883" t="s">
        <v>194</v>
      </c>
      <c r="C17" s="877"/>
      <c r="D17" s="869"/>
      <c r="E17" s="869"/>
      <c r="F17" s="869"/>
      <c r="G17" s="869"/>
      <c r="H17" s="869"/>
    </row>
    <row r="18" spans="1:8" x14ac:dyDescent="0.25">
      <c r="A18" s="874">
        <v>10</v>
      </c>
      <c r="B18" s="883" t="s">
        <v>284</v>
      </c>
      <c r="C18" s="877"/>
      <c r="D18" s="869"/>
      <c r="E18" s="869"/>
      <c r="F18" s="869"/>
      <c r="G18" s="869"/>
      <c r="H18" s="869"/>
    </row>
    <row r="19" spans="1:8" x14ac:dyDescent="0.25">
      <c r="A19" s="874" t="s">
        <v>308</v>
      </c>
      <c r="B19" s="883" t="s">
        <v>293</v>
      </c>
      <c r="C19" s="877"/>
      <c r="D19" s="869"/>
      <c r="E19" s="869"/>
      <c r="F19" s="869"/>
      <c r="G19" s="869"/>
      <c r="H19" s="869"/>
    </row>
    <row r="20" spans="1:8" x14ac:dyDescent="0.25">
      <c r="A20" s="874" t="s">
        <v>309</v>
      </c>
      <c r="B20" s="883" t="s">
        <v>301</v>
      </c>
      <c r="C20" s="877"/>
      <c r="D20" s="869"/>
      <c r="E20" s="869"/>
      <c r="F20" s="869"/>
      <c r="G20" s="869"/>
      <c r="H20" s="869"/>
    </row>
    <row r="21" spans="1:8" x14ac:dyDescent="0.25">
      <c r="A21" s="874"/>
      <c r="B21" s="875"/>
      <c r="C21" s="877"/>
      <c r="D21" s="869"/>
      <c r="E21" s="869"/>
      <c r="F21" s="869"/>
      <c r="G21" s="869"/>
      <c r="H21" s="869"/>
    </row>
    <row r="22" spans="1:8" x14ac:dyDescent="0.25">
      <c r="A22" s="874"/>
      <c r="B22" s="875"/>
      <c r="C22" s="875"/>
      <c r="D22" s="869"/>
      <c r="E22" s="869"/>
      <c r="F22" s="869"/>
      <c r="G22" s="869"/>
      <c r="H22" s="869"/>
    </row>
  </sheetData>
  <hyperlinks>
    <hyperlink ref="B5" location="'1 Bilance'!A1" display="Bilance zdrojů pro rozdělení příspěvku a dotací vysokým školám v roce 2020"/>
    <hyperlink ref="B6" location="'2a Výkonová část segment 1'!A1" display="Výkonová část - segment 1"/>
    <hyperlink ref="B7" location="'2b Výkonová část segment 2'!A1" display="Výkonová část - segment 2"/>
    <hyperlink ref="B8" location="'2c Výkonová část segment 3'!A1" display="Výkonová část - segment 3"/>
    <hyperlink ref="B9" location="'2d Výkonová část segment 4'!A1" display="Výkonová část - segment 4"/>
    <hyperlink ref="B10" location="'3a Ukazatel P - Pedagog. fak.'!A1" display="Ukazatel P - Pedagogické fakulty"/>
    <hyperlink ref="B11" location="'3b Ukazatel P - pedagogické SP'!A1" display="Ukazatel P - Pedagogické SP"/>
    <hyperlink ref="B12" location="'4 RO I'!A1" display="Rozpočtový okruh I"/>
    <hyperlink ref="B13" location="'5 Ukazatel C'!A1" display="Ukazatel C"/>
    <hyperlink ref="B14" location="'6 Ukazatel J'!A1" display="Ukazatel J"/>
    <hyperlink ref="B15" location="'7 Ukazatel U'!A1" display="Ukazatel U"/>
    <hyperlink ref="B16" location="'8 Ukazatel I'!A1" display="Ukazatel I"/>
    <hyperlink ref="B17" location="'9 Ukazatel D'!A1" display="Ukazatel D"/>
    <hyperlink ref="B18" location="'10 Fond umělecké činnosti'!A1" display="Fond umělecké činnosti"/>
    <hyperlink ref="B19" location="'11a Ukazatel F - U3V'!A1" display="Ukazatel F - U3V"/>
    <hyperlink ref="B20" location="'11b Ukazatel F - SSP'!A1" display="Ukazatel F - SSP "/>
  </hyperlinks>
  <pageMargins left="0.70866141732283472" right="0.70866141732283472" top="0.78740157480314965" bottom="0.78740157480314965" header="0.31496062992125984" footer="0.31496062992125984"/>
  <pageSetup paperSize="9" orientation="portrait" r:id="rId1"/>
  <headerFooter>
    <oddHeader xml:space="preserve">&amp;LČ. j. MSMT-1753/2020-1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39"/>
  <sheetViews>
    <sheetView zoomScale="85" zoomScaleNormal="85" workbookViewId="0">
      <selection activeCell="H4" sqref="H4"/>
    </sheetView>
  </sheetViews>
  <sheetFormatPr defaultRowHeight="15" x14ac:dyDescent="0.25"/>
  <cols>
    <col min="1" max="1" width="11.5703125" customWidth="1"/>
    <col min="2" max="2" width="63.7109375" customWidth="1"/>
    <col min="3" max="4" width="20.7109375" customWidth="1"/>
    <col min="8" max="8" width="17" customWidth="1"/>
    <col min="9" max="9" width="34" customWidth="1"/>
  </cols>
  <sheetData>
    <row r="1" spans="1:4" ht="27.75" x14ac:dyDescent="0.25">
      <c r="A1" s="1085" t="s">
        <v>107</v>
      </c>
      <c r="B1" s="1085"/>
      <c r="C1" s="1085"/>
      <c r="D1" s="1085"/>
    </row>
    <row r="2" spans="1:4" ht="19.5" x14ac:dyDescent="0.25">
      <c r="A2" s="272"/>
      <c r="B2" s="272"/>
      <c r="C2" s="272"/>
      <c r="D2" s="272"/>
    </row>
    <row r="3" spans="1:4" ht="20.25" x14ac:dyDescent="0.25">
      <c r="A3" s="273" t="s">
        <v>115</v>
      </c>
      <c r="B3" s="272"/>
      <c r="C3" s="272"/>
      <c r="D3" s="272"/>
    </row>
    <row r="4" spans="1:4" ht="26.25" x14ac:dyDescent="0.25">
      <c r="A4" s="274"/>
      <c r="B4" s="274"/>
      <c r="C4" s="274"/>
      <c r="D4" s="274"/>
    </row>
    <row r="5" spans="1:4" x14ac:dyDescent="0.25">
      <c r="A5" s="275"/>
      <c r="B5" s="276" t="s">
        <v>108</v>
      </c>
      <c r="C5" s="277">
        <v>13500</v>
      </c>
      <c r="D5" s="278" t="s">
        <v>109</v>
      </c>
    </row>
    <row r="6" spans="1:4" x14ac:dyDescent="0.25">
      <c r="A6" s="279"/>
      <c r="B6" s="276" t="s">
        <v>110</v>
      </c>
      <c r="C6" s="277">
        <v>135000</v>
      </c>
      <c r="D6" s="278" t="s">
        <v>111</v>
      </c>
    </row>
    <row r="7" spans="1:4" x14ac:dyDescent="0.25">
      <c r="A7" s="279"/>
      <c r="B7" s="280"/>
      <c r="C7" s="281"/>
      <c r="D7" s="281"/>
    </row>
    <row r="8" spans="1:4" ht="15.75" thickBot="1" x14ac:dyDescent="0.3">
      <c r="A8" s="282"/>
      <c r="B8" s="282"/>
      <c r="C8" s="282"/>
      <c r="D8" s="283" t="s">
        <v>112</v>
      </c>
    </row>
    <row r="9" spans="1:4" ht="30.75" thickBot="1" x14ac:dyDescent="0.3">
      <c r="A9" s="284" t="s">
        <v>2</v>
      </c>
      <c r="B9" s="285" t="s">
        <v>3</v>
      </c>
      <c r="C9" s="286" t="s">
        <v>113</v>
      </c>
      <c r="D9" s="287" t="s">
        <v>114</v>
      </c>
    </row>
    <row r="10" spans="1:4" x14ac:dyDescent="0.25">
      <c r="A10" s="288">
        <v>11000</v>
      </c>
      <c r="B10" s="289" t="s">
        <v>4</v>
      </c>
      <c r="C10" s="290">
        <v>3100</v>
      </c>
      <c r="D10" s="291">
        <f>C10*$C$6</f>
        <v>418500000</v>
      </c>
    </row>
    <row r="11" spans="1:4" x14ac:dyDescent="0.25">
      <c r="A11" s="288">
        <v>12000</v>
      </c>
      <c r="B11" s="289" t="s">
        <v>5</v>
      </c>
      <c r="C11" s="290">
        <v>360</v>
      </c>
      <c r="D11" s="292">
        <f t="shared" ref="D11:D35" si="0">C11*$C$6</f>
        <v>48600000</v>
      </c>
    </row>
    <row r="12" spans="1:4" x14ac:dyDescent="0.25">
      <c r="A12" s="288">
        <v>13000</v>
      </c>
      <c r="B12" s="289" t="s">
        <v>6</v>
      </c>
      <c r="C12" s="290">
        <v>113</v>
      </c>
      <c r="D12" s="292">
        <f t="shared" si="0"/>
        <v>15255000</v>
      </c>
    </row>
    <row r="13" spans="1:4" x14ac:dyDescent="0.25">
      <c r="A13" s="288">
        <v>14000</v>
      </c>
      <c r="B13" s="289" t="s">
        <v>7</v>
      </c>
      <c r="C13" s="290">
        <v>1535</v>
      </c>
      <c r="D13" s="292">
        <f t="shared" si="0"/>
        <v>207225000</v>
      </c>
    </row>
    <row r="14" spans="1:4" x14ac:dyDescent="0.25">
      <c r="A14" s="288">
        <v>15000</v>
      </c>
      <c r="B14" s="289" t="s">
        <v>8</v>
      </c>
      <c r="C14" s="290">
        <v>744</v>
      </c>
      <c r="D14" s="292">
        <f t="shared" si="0"/>
        <v>100440000</v>
      </c>
    </row>
    <row r="15" spans="1:4" x14ac:dyDescent="0.25">
      <c r="A15" s="288">
        <v>16000</v>
      </c>
      <c r="B15" s="289" t="s">
        <v>9</v>
      </c>
      <c r="C15" s="290">
        <v>135</v>
      </c>
      <c r="D15" s="292">
        <f t="shared" si="0"/>
        <v>18225000</v>
      </c>
    </row>
    <row r="16" spans="1:4" x14ac:dyDescent="0.25">
      <c r="A16" s="288">
        <v>17000</v>
      </c>
      <c r="B16" s="289" t="s">
        <v>10</v>
      </c>
      <c r="C16" s="290">
        <v>183</v>
      </c>
      <c r="D16" s="292">
        <f t="shared" si="0"/>
        <v>24705000</v>
      </c>
    </row>
    <row r="17" spans="1:4" x14ac:dyDescent="0.25">
      <c r="A17" s="288">
        <v>18000</v>
      </c>
      <c r="B17" s="289" t="s">
        <v>11</v>
      </c>
      <c r="C17" s="290">
        <v>98</v>
      </c>
      <c r="D17" s="292">
        <f t="shared" si="0"/>
        <v>13230000</v>
      </c>
    </row>
    <row r="18" spans="1:4" x14ac:dyDescent="0.25">
      <c r="A18" s="288">
        <v>19000</v>
      </c>
      <c r="B18" s="289" t="s">
        <v>12</v>
      </c>
      <c r="C18" s="290">
        <v>41</v>
      </c>
      <c r="D18" s="292">
        <f t="shared" si="0"/>
        <v>5535000</v>
      </c>
    </row>
    <row r="19" spans="1:4" x14ac:dyDescent="0.25">
      <c r="A19" s="288">
        <v>21000</v>
      </c>
      <c r="B19" s="289" t="s">
        <v>13</v>
      </c>
      <c r="C19" s="290">
        <v>861</v>
      </c>
      <c r="D19" s="292">
        <f t="shared" si="0"/>
        <v>116235000</v>
      </c>
    </row>
    <row r="20" spans="1:4" x14ac:dyDescent="0.25">
      <c r="A20" s="288">
        <v>22000</v>
      </c>
      <c r="B20" s="289" t="s">
        <v>14</v>
      </c>
      <c r="C20" s="290">
        <v>452</v>
      </c>
      <c r="D20" s="292">
        <f t="shared" si="0"/>
        <v>61020000</v>
      </c>
    </row>
    <row r="21" spans="1:4" x14ac:dyDescent="0.25">
      <c r="A21" s="288">
        <v>23000</v>
      </c>
      <c r="B21" s="289" t="s">
        <v>15</v>
      </c>
      <c r="C21" s="290">
        <v>230</v>
      </c>
      <c r="D21" s="292">
        <f t="shared" si="0"/>
        <v>31050000</v>
      </c>
    </row>
    <row r="22" spans="1:4" x14ac:dyDescent="0.25">
      <c r="A22" s="288">
        <v>24000</v>
      </c>
      <c r="B22" s="289" t="s">
        <v>16</v>
      </c>
      <c r="C22" s="290">
        <v>127</v>
      </c>
      <c r="D22" s="292">
        <f t="shared" si="0"/>
        <v>17145000</v>
      </c>
    </row>
    <row r="23" spans="1:4" x14ac:dyDescent="0.25">
      <c r="A23" s="288">
        <v>25000</v>
      </c>
      <c r="B23" s="289" t="s">
        <v>17</v>
      </c>
      <c r="C23" s="290">
        <v>152</v>
      </c>
      <c r="D23" s="292">
        <f t="shared" si="0"/>
        <v>20520000</v>
      </c>
    </row>
    <row r="24" spans="1:4" x14ac:dyDescent="0.25">
      <c r="A24" s="288">
        <v>26000</v>
      </c>
      <c r="B24" s="289" t="s">
        <v>18</v>
      </c>
      <c r="C24" s="290">
        <v>835</v>
      </c>
      <c r="D24" s="292">
        <f t="shared" si="0"/>
        <v>112725000</v>
      </c>
    </row>
    <row r="25" spans="1:4" x14ac:dyDescent="0.25">
      <c r="A25" s="288">
        <v>27000</v>
      </c>
      <c r="B25" s="289" t="s">
        <v>19</v>
      </c>
      <c r="C25" s="290">
        <v>460</v>
      </c>
      <c r="D25" s="292">
        <f t="shared" si="0"/>
        <v>62100000</v>
      </c>
    </row>
    <row r="26" spans="1:4" x14ac:dyDescent="0.25">
      <c r="A26" s="288">
        <v>28000</v>
      </c>
      <c r="B26" s="289" t="s">
        <v>20</v>
      </c>
      <c r="C26" s="290">
        <v>142</v>
      </c>
      <c r="D26" s="292">
        <f t="shared" si="0"/>
        <v>19170000</v>
      </c>
    </row>
    <row r="27" spans="1:4" x14ac:dyDescent="0.25">
      <c r="A27" s="288">
        <v>31000</v>
      </c>
      <c r="B27" s="289" t="s">
        <v>21</v>
      </c>
      <c r="C27" s="290">
        <v>187</v>
      </c>
      <c r="D27" s="292">
        <f t="shared" si="0"/>
        <v>25245000</v>
      </c>
    </row>
    <row r="28" spans="1:4" x14ac:dyDescent="0.25">
      <c r="A28" s="288">
        <v>41000</v>
      </c>
      <c r="B28" s="289" t="s">
        <v>22</v>
      </c>
      <c r="C28" s="290">
        <v>599</v>
      </c>
      <c r="D28" s="292">
        <f t="shared" si="0"/>
        <v>80865000</v>
      </c>
    </row>
    <row r="29" spans="1:4" x14ac:dyDescent="0.25">
      <c r="A29" s="288">
        <v>43000</v>
      </c>
      <c r="B29" s="289" t="s">
        <v>23</v>
      </c>
      <c r="C29" s="290">
        <v>327</v>
      </c>
      <c r="D29" s="292">
        <f t="shared" si="0"/>
        <v>44145000</v>
      </c>
    </row>
    <row r="30" spans="1:4" x14ac:dyDescent="0.25">
      <c r="A30" s="288">
        <v>51000</v>
      </c>
      <c r="B30" s="289" t="s">
        <v>24</v>
      </c>
      <c r="C30" s="290">
        <v>70</v>
      </c>
      <c r="D30" s="292">
        <f t="shared" si="0"/>
        <v>9450000</v>
      </c>
    </row>
    <row r="31" spans="1:4" x14ac:dyDescent="0.25">
      <c r="A31" s="288">
        <v>52000</v>
      </c>
      <c r="B31" s="289" t="s">
        <v>25</v>
      </c>
      <c r="C31" s="290">
        <v>17</v>
      </c>
      <c r="D31" s="292">
        <f t="shared" si="0"/>
        <v>2295000</v>
      </c>
    </row>
    <row r="32" spans="1:4" x14ac:dyDescent="0.25">
      <c r="A32" s="288">
        <v>53000</v>
      </c>
      <c r="B32" s="289" t="s">
        <v>26</v>
      </c>
      <c r="C32" s="290">
        <v>33</v>
      </c>
      <c r="D32" s="292">
        <f t="shared" si="0"/>
        <v>4455000</v>
      </c>
    </row>
    <row r="33" spans="1:4" x14ac:dyDescent="0.25">
      <c r="A33" s="288">
        <v>54000</v>
      </c>
      <c r="B33" s="289" t="s">
        <v>27</v>
      </c>
      <c r="C33" s="290">
        <v>37</v>
      </c>
      <c r="D33" s="292">
        <f t="shared" si="0"/>
        <v>4995000</v>
      </c>
    </row>
    <row r="34" spans="1:4" x14ac:dyDescent="0.25">
      <c r="A34" s="288">
        <v>55000</v>
      </c>
      <c r="B34" s="289" t="s">
        <v>28</v>
      </c>
      <c r="C34" s="290">
        <v>0</v>
      </c>
      <c r="D34" s="292">
        <f t="shared" si="0"/>
        <v>0</v>
      </c>
    </row>
    <row r="35" spans="1:4" ht="15.75" thickBot="1" x14ac:dyDescent="0.3">
      <c r="A35" s="293">
        <v>56000</v>
      </c>
      <c r="B35" s="294" t="s">
        <v>29</v>
      </c>
      <c r="C35" s="295">
        <v>0</v>
      </c>
      <c r="D35" s="296">
        <f t="shared" si="0"/>
        <v>0</v>
      </c>
    </row>
    <row r="36" spans="1:4" ht="15.75" thickBot="1" x14ac:dyDescent="0.3">
      <c r="A36" s="297"/>
      <c r="B36" s="298" t="s">
        <v>30</v>
      </c>
      <c r="C36" s="299">
        <f>SUM(C10:C35)</f>
        <v>10838</v>
      </c>
      <c r="D36" s="300">
        <f>SUM(D10:D35)</f>
        <v>1463130000</v>
      </c>
    </row>
    <row r="37" spans="1:4" x14ac:dyDescent="0.25">
      <c r="A37" s="301" t="s">
        <v>116</v>
      </c>
      <c r="B37" s="302"/>
      <c r="C37" s="302"/>
      <c r="D37" s="302"/>
    </row>
    <row r="39" spans="1:4" x14ac:dyDescent="0.25">
      <c r="A39" s="41" t="s">
        <v>311</v>
      </c>
    </row>
  </sheetData>
  <mergeCells count="1">
    <mergeCell ref="A1:D1"/>
  </mergeCells>
  <hyperlinks>
    <hyperlink ref="A39" location="'0 Seznam'!A1" display="Seznam"/>
  </hyperlinks>
  <pageMargins left="0.70866141732283472" right="0.70866141732283472" top="0.78740157480314965" bottom="0.78740157480314965" header="0.31496062992125984" footer="0.31496062992125984"/>
  <pageSetup paperSize="9" scale="66" orientation="landscape" r:id="rId1"/>
  <headerFooter>
    <oddHeader xml:space="preserve">&amp;LČ. j. MSMT-1753/2020-1
</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40"/>
  <sheetViews>
    <sheetView zoomScale="85" zoomScaleNormal="85" workbookViewId="0"/>
  </sheetViews>
  <sheetFormatPr defaultRowHeight="15" x14ac:dyDescent="0.25"/>
  <cols>
    <col min="1" max="1" width="10.140625" style="43" customWidth="1"/>
    <col min="2" max="2" width="61.140625" style="43" customWidth="1"/>
    <col min="3" max="7" width="16.7109375" style="43" customWidth="1"/>
    <col min="8" max="16384" width="9.140625" style="43"/>
  </cols>
  <sheetData>
    <row r="1" spans="1:7" ht="27.75" x14ac:dyDescent="0.25">
      <c r="A1" s="499" t="s">
        <v>156</v>
      </c>
    </row>
    <row r="2" spans="1:7" x14ac:dyDescent="0.25">
      <c r="A2" s="500"/>
    </row>
    <row r="3" spans="1:7" ht="20.25" x14ac:dyDescent="0.25">
      <c r="A3" s="501" t="s">
        <v>166</v>
      </c>
    </row>
    <row r="4" spans="1:7" ht="15.75" thickBot="1" x14ac:dyDescent="0.3"/>
    <row r="5" spans="1:7" x14ac:dyDescent="0.25">
      <c r="A5" s="1086" t="s">
        <v>2</v>
      </c>
      <c r="B5" s="1088" t="s">
        <v>3</v>
      </c>
      <c r="C5" s="502" t="s">
        <v>157</v>
      </c>
      <c r="D5" s="502"/>
      <c r="E5" s="502"/>
      <c r="F5" s="503"/>
      <c r="G5" s="1090" t="s">
        <v>158</v>
      </c>
    </row>
    <row r="6" spans="1:7" ht="26.25" thickBot="1" x14ac:dyDescent="0.3">
      <c r="A6" s="1087"/>
      <c r="B6" s="1089"/>
      <c r="C6" s="504" t="s">
        <v>159</v>
      </c>
      <c r="D6" s="505" t="s">
        <v>160</v>
      </c>
      <c r="E6" s="505" t="s">
        <v>161</v>
      </c>
      <c r="F6" s="505" t="s">
        <v>162</v>
      </c>
      <c r="G6" s="1091"/>
    </row>
    <row r="7" spans="1:7" x14ac:dyDescent="0.25">
      <c r="A7" s="506">
        <v>11000</v>
      </c>
      <c r="B7" s="507" t="s">
        <v>4</v>
      </c>
      <c r="C7" s="508">
        <v>896790</v>
      </c>
      <c r="D7" s="509">
        <v>59683</v>
      </c>
      <c r="E7" s="509">
        <f>0.4*D7</f>
        <v>23873.200000000001</v>
      </c>
      <c r="F7" s="509">
        <f>C7+E7</f>
        <v>920663.2</v>
      </c>
      <c r="G7" s="510">
        <f>ROUND(F7*G$35,-3)</f>
        <v>16526000</v>
      </c>
    </row>
    <row r="8" spans="1:7" x14ac:dyDescent="0.25">
      <c r="A8" s="511">
        <v>12000</v>
      </c>
      <c r="B8" s="512" t="s">
        <v>5</v>
      </c>
      <c r="C8" s="508">
        <v>237107</v>
      </c>
      <c r="D8" s="509">
        <v>9372</v>
      </c>
      <c r="E8" s="509">
        <f t="shared" ref="E8:E32" si="0">0.4*D8</f>
        <v>3748.8</v>
      </c>
      <c r="F8" s="509">
        <f>C8+E8</f>
        <v>240855.8</v>
      </c>
      <c r="G8" s="510">
        <f t="shared" ref="G8:G32" si="1">ROUND(F8*G$35,-3)</f>
        <v>4323000</v>
      </c>
    </row>
    <row r="9" spans="1:7" x14ac:dyDescent="0.25">
      <c r="A9" s="511">
        <v>13000</v>
      </c>
      <c r="B9" s="512" t="s">
        <v>6</v>
      </c>
      <c r="C9" s="508">
        <v>20007</v>
      </c>
      <c r="D9" s="509">
        <v>4476</v>
      </c>
      <c r="E9" s="509">
        <f t="shared" si="0"/>
        <v>1790.4</v>
      </c>
      <c r="F9" s="509">
        <f t="shared" ref="F9:F32" si="2">C9+E9</f>
        <v>21797.4</v>
      </c>
      <c r="G9" s="510">
        <f t="shared" si="1"/>
        <v>391000</v>
      </c>
    </row>
    <row r="10" spans="1:7" x14ac:dyDescent="0.25">
      <c r="A10" s="511">
        <v>14000</v>
      </c>
      <c r="B10" s="512" t="s">
        <v>7</v>
      </c>
      <c r="C10" s="508">
        <v>610151</v>
      </c>
      <c r="D10" s="509">
        <v>49518</v>
      </c>
      <c r="E10" s="509">
        <f t="shared" si="0"/>
        <v>19807.2</v>
      </c>
      <c r="F10" s="509">
        <f t="shared" si="2"/>
        <v>629958.19999999995</v>
      </c>
      <c r="G10" s="510">
        <f t="shared" si="1"/>
        <v>11308000</v>
      </c>
    </row>
    <row r="11" spans="1:7" x14ac:dyDescent="0.25">
      <c r="A11" s="511">
        <v>15000</v>
      </c>
      <c r="B11" s="512" t="s">
        <v>8</v>
      </c>
      <c r="C11" s="508">
        <v>488540</v>
      </c>
      <c r="D11" s="509">
        <v>45398</v>
      </c>
      <c r="E11" s="509">
        <f t="shared" si="0"/>
        <v>18159.2</v>
      </c>
      <c r="F11" s="509">
        <f t="shared" si="2"/>
        <v>506699.2</v>
      </c>
      <c r="G11" s="510">
        <f t="shared" si="1"/>
        <v>9095000</v>
      </c>
    </row>
    <row r="12" spans="1:7" x14ac:dyDescent="0.25">
      <c r="A12" s="511">
        <v>16000</v>
      </c>
      <c r="B12" s="512" t="s">
        <v>9</v>
      </c>
      <c r="C12" s="508">
        <v>0</v>
      </c>
      <c r="D12" s="509">
        <v>0</v>
      </c>
      <c r="E12" s="509">
        <f t="shared" si="0"/>
        <v>0</v>
      </c>
      <c r="F12" s="509">
        <f t="shared" si="2"/>
        <v>0</v>
      </c>
      <c r="G12" s="510">
        <f t="shared" si="1"/>
        <v>0</v>
      </c>
    </row>
    <row r="13" spans="1:7" x14ac:dyDescent="0.25">
      <c r="A13" s="511">
        <v>17000</v>
      </c>
      <c r="B13" s="512" t="s">
        <v>10</v>
      </c>
      <c r="C13" s="508">
        <v>8196</v>
      </c>
      <c r="D13" s="509">
        <v>0</v>
      </c>
      <c r="E13" s="509">
        <f t="shared" si="0"/>
        <v>0</v>
      </c>
      <c r="F13" s="509">
        <f t="shared" si="2"/>
        <v>8196</v>
      </c>
      <c r="G13" s="510">
        <f t="shared" si="1"/>
        <v>147000</v>
      </c>
    </row>
    <row r="14" spans="1:7" x14ac:dyDescent="0.25">
      <c r="A14" s="511">
        <v>18000</v>
      </c>
      <c r="B14" s="512" t="s">
        <v>11</v>
      </c>
      <c r="C14" s="508">
        <v>18056</v>
      </c>
      <c r="D14" s="509">
        <v>0</v>
      </c>
      <c r="E14" s="509">
        <f t="shared" si="0"/>
        <v>0</v>
      </c>
      <c r="F14" s="509">
        <f t="shared" si="2"/>
        <v>18056</v>
      </c>
      <c r="G14" s="510">
        <f t="shared" si="1"/>
        <v>324000</v>
      </c>
    </row>
    <row r="15" spans="1:7" x14ac:dyDescent="0.25">
      <c r="A15" s="511">
        <v>19000</v>
      </c>
      <c r="B15" s="512" t="s">
        <v>12</v>
      </c>
      <c r="C15" s="508">
        <v>190490</v>
      </c>
      <c r="D15" s="509">
        <v>24118</v>
      </c>
      <c r="E15" s="509">
        <f t="shared" si="0"/>
        <v>9647.2000000000007</v>
      </c>
      <c r="F15" s="509">
        <f t="shared" si="2"/>
        <v>200137.2</v>
      </c>
      <c r="G15" s="510">
        <f t="shared" si="1"/>
        <v>3592000</v>
      </c>
    </row>
    <row r="16" spans="1:7" x14ac:dyDescent="0.25">
      <c r="A16" s="511">
        <v>21000</v>
      </c>
      <c r="B16" s="512" t="s">
        <v>13</v>
      </c>
      <c r="C16" s="508">
        <v>954792</v>
      </c>
      <c r="D16" s="509">
        <v>77598</v>
      </c>
      <c r="E16" s="509">
        <f t="shared" si="0"/>
        <v>31039.200000000001</v>
      </c>
      <c r="F16" s="509">
        <f t="shared" si="2"/>
        <v>985831.2</v>
      </c>
      <c r="G16" s="510">
        <f t="shared" si="1"/>
        <v>17696000</v>
      </c>
    </row>
    <row r="17" spans="1:7" x14ac:dyDescent="0.25">
      <c r="A17" s="511">
        <v>22000</v>
      </c>
      <c r="B17" s="512" t="s">
        <v>14</v>
      </c>
      <c r="C17" s="508">
        <v>51131</v>
      </c>
      <c r="D17" s="509">
        <v>5189</v>
      </c>
      <c r="E17" s="509">
        <f t="shared" si="0"/>
        <v>2075.6</v>
      </c>
      <c r="F17" s="509">
        <f t="shared" si="2"/>
        <v>53206.6</v>
      </c>
      <c r="G17" s="510">
        <f t="shared" si="1"/>
        <v>955000</v>
      </c>
    </row>
    <row r="18" spans="1:7" x14ac:dyDescent="0.25">
      <c r="A18" s="511">
        <v>23000</v>
      </c>
      <c r="B18" s="512" t="s">
        <v>15</v>
      </c>
      <c r="C18" s="508">
        <v>350984</v>
      </c>
      <c r="D18" s="509">
        <v>31190</v>
      </c>
      <c r="E18" s="509">
        <f t="shared" si="0"/>
        <v>12476</v>
      </c>
      <c r="F18" s="509">
        <f t="shared" si="2"/>
        <v>363460</v>
      </c>
      <c r="G18" s="510">
        <f t="shared" si="1"/>
        <v>6524000</v>
      </c>
    </row>
    <row r="19" spans="1:7" x14ac:dyDescent="0.25">
      <c r="A19" s="511">
        <v>24000</v>
      </c>
      <c r="B19" s="512" t="s">
        <v>16</v>
      </c>
      <c r="C19" s="508">
        <v>118847</v>
      </c>
      <c r="D19" s="509">
        <v>17804</v>
      </c>
      <c r="E19" s="509">
        <f t="shared" si="0"/>
        <v>7121.6</v>
      </c>
      <c r="F19" s="509">
        <f t="shared" si="2"/>
        <v>125968.6</v>
      </c>
      <c r="G19" s="510">
        <f t="shared" si="1"/>
        <v>2261000</v>
      </c>
    </row>
    <row r="20" spans="1:7" x14ac:dyDescent="0.25">
      <c r="A20" s="511">
        <v>25000</v>
      </c>
      <c r="B20" s="512" t="s">
        <v>17</v>
      </c>
      <c r="C20" s="508">
        <v>114562</v>
      </c>
      <c r="D20" s="509">
        <v>7124</v>
      </c>
      <c r="E20" s="509">
        <f t="shared" si="0"/>
        <v>2849.6000000000004</v>
      </c>
      <c r="F20" s="509">
        <f t="shared" si="2"/>
        <v>117411.6</v>
      </c>
      <c r="G20" s="510">
        <f t="shared" si="1"/>
        <v>2108000</v>
      </c>
    </row>
    <row r="21" spans="1:7" x14ac:dyDescent="0.25">
      <c r="A21" s="511">
        <v>26000</v>
      </c>
      <c r="B21" s="512" t="s">
        <v>18</v>
      </c>
      <c r="C21" s="508">
        <v>708896</v>
      </c>
      <c r="D21" s="509">
        <v>65754</v>
      </c>
      <c r="E21" s="509">
        <f t="shared" si="0"/>
        <v>26301.600000000002</v>
      </c>
      <c r="F21" s="509">
        <f t="shared" si="2"/>
        <v>735197.6</v>
      </c>
      <c r="G21" s="510">
        <f t="shared" si="1"/>
        <v>13197000</v>
      </c>
    </row>
    <row r="22" spans="1:7" x14ac:dyDescent="0.25">
      <c r="A22" s="511">
        <v>27000</v>
      </c>
      <c r="B22" s="512" t="s">
        <v>19</v>
      </c>
      <c r="C22" s="508">
        <v>157826</v>
      </c>
      <c r="D22" s="509">
        <v>65726</v>
      </c>
      <c r="E22" s="509">
        <f t="shared" si="0"/>
        <v>26290.400000000001</v>
      </c>
      <c r="F22" s="509">
        <f t="shared" si="2"/>
        <v>184116.4</v>
      </c>
      <c r="G22" s="510">
        <f t="shared" si="1"/>
        <v>3305000</v>
      </c>
    </row>
    <row r="23" spans="1:7" x14ac:dyDescent="0.25">
      <c r="A23" s="511">
        <v>28000</v>
      </c>
      <c r="B23" s="512" t="s">
        <v>20</v>
      </c>
      <c r="C23" s="508">
        <v>152167</v>
      </c>
      <c r="D23" s="509">
        <v>8886</v>
      </c>
      <c r="E23" s="509">
        <f t="shared" si="0"/>
        <v>3554.4</v>
      </c>
      <c r="F23" s="509">
        <f t="shared" si="2"/>
        <v>155721.4</v>
      </c>
      <c r="G23" s="510">
        <f t="shared" si="1"/>
        <v>2795000</v>
      </c>
    </row>
    <row r="24" spans="1:7" x14ac:dyDescent="0.25">
      <c r="A24" s="511">
        <v>31000</v>
      </c>
      <c r="B24" s="512" t="s">
        <v>21</v>
      </c>
      <c r="C24" s="508">
        <v>253106</v>
      </c>
      <c r="D24" s="509">
        <v>3032</v>
      </c>
      <c r="E24" s="509">
        <f t="shared" si="0"/>
        <v>1212.8</v>
      </c>
      <c r="F24" s="509">
        <f t="shared" si="2"/>
        <v>254318.8</v>
      </c>
      <c r="G24" s="510">
        <f t="shared" si="1"/>
        <v>4565000</v>
      </c>
    </row>
    <row r="25" spans="1:7" x14ac:dyDescent="0.25">
      <c r="A25" s="511">
        <v>41000</v>
      </c>
      <c r="B25" s="512" t="s">
        <v>22</v>
      </c>
      <c r="C25" s="508">
        <v>247621</v>
      </c>
      <c r="D25" s="509">
        <v>1358</v>
      </c>
      <c r="E25" s="509">
        <f t="shared" si="0"/>
        <v>543.20000000000005</v>
      </c>
      <c r="F25" s="509">
        <f>C25+E25</f>
        <v>248164.2</v>
      </c>
      <c r="G25" s="510">
        <f t="shared" si="1"/>
        <v>4455000</v>
      </c>
    </row>
    <row r="26" spans="1:7" x14ac:dyDescent="0.25">
      <c r="A26" s="511">
        <v>43000</v>
      </c>
      <c r="B26" s="512" t="s">
        <v>23</v>
      </c>
      <c r="C26" s="508">
        <v>250439</v>
      </c>
      <c r="D26" s="509">
        <v>30731</v>
      </c>
      <c r="E26" s="509">
        <f t="shared" si="0"/>
        <v>12292.400000000001</v>
      </c>
      <c r="F26" s="509">
        <f t="shared" si="2"/>
        <v>262731.40000000002</v>
      </c>
      <c r="G26" s="510">
        <f t="shared" si="1"/>
        <v>4716000</v>
      </c>
    </row>
    <row r="27" spans="1:7" x14ac:dyDescent="0.25">
      <c r="A27" s="511">
        <v>51000</v>
      </c>
      <c r="B27" s="512" t="s">
        <v>24</v>
      </c>
      <c r="C27" s="508">
        <v>0</v>
      </c>
      <c r="D27" s="509">
        <v>0</v>
      </c>
      <c r="E27" s="509">
        <f t="shared" si="0"/>
        <v>0</v>
      </c>
      <c r="F27" s="509">
        <f t="shared" si="2"/>
        <v>0</v>
      </c>
      <c r="G27" s="510">
        <f t="shared" si="1"/>
        <v>0</v>
      </c>
    </row>
    <row r="28" spans="1:7" x14ac:dyDescent="0.25">
      <c r="A28" s="511">
        <v>52000</v>
      </c>
      <c r="B28" s="512" t="s">
        <v>25</v>
      </c>
      <c r="C28" s="508">
        <v>10574</v>
      </c>
      <c r="D28" s="509">
        <v>0</v>
      </c>
      <c r="E28" s="509">
        <f t="shared" si="0"/>
        <v>0</v>
      </c>
      <c r="F28" s="509">
        <f t="shared" si="2"/>
        <v>10574</v>
      </c>
      <c r="G28" s="510">
        <f t="shared" si="1"/>
        <v>190000</v>
      </c>
    </row>
    <row r="29" spans="1:7" x14ac:dyDescent="0.25">
      <c r="A29" s="511">
        <v>53000</v>
      </c>
      <c r="B29" s="512" t="s">
        <v>26</v>
      </c>
      <c r="C29" s="508">
        <v>0</v>
      </c>
      <c r="D29" s="509">
        <v>0</v>
      </c>
      <c r="E29" s="509">
        <f t="shared" si="0"/>
        <v>0</v>
      </c>
      <c r="F29" s="509">
        <f t="shared" si="2"/>
        <v>0</v>
      </c>
      <c r="G29" s="510">
        <f t="shared" si="1"/>
        <v>0</v>
      </c>
    </row>
    <row r="30" spans="1:7" x14ac:dyDescent="0.25">
      <c r="A30" s="511">
        <v>54000</v>
      </c>
      <c r="B30" s="512" t="s">
        <v>27</v>
      </c>
      <c r="C30" s="508">
        <v>0</v>
      </c>
      <c r="D30" s="509">
        <v>0</v>
      </c>
      <c r="E30" s="509">
        <f t="shared" si="0"/>
        <v>0</v>
      </c>
      <c r="F30" s="509">
        <f t="shared" si="2"/>
        <v>0</v>
      </c>
      <c r="G30" s="510">
        <f t="shared" si="1"/>
        <v>0</v>
      </c>
    </row>
    <row r="31" spans="1:7" x14ac:dyDescent="0.25">
      <c r="A31" s="511">
        <v>55000</v>
      </c>
      <c r="B31" s="512" t="s">
        <v>28</v>
      </c>
      <c r="C31" s="508">
        <v>18245</v>
      </c>
      <c r="D31" s="509">
        <v>0</v>
      </c>
      <c r="E31" s="509">
        <f t="shared" si="0"/>
        <v>0</v>
      </c>
      <c r="F31" s="509">
        <f t="shared" si="2"/>
        <v>18245</v>
      </c>
      <c r="G31" s="510">
        <f t="shared" si="1"/>
        <v>327000</v>
      </c>
    </row>
    <row r="32" spans="1:7" ht="15.75" thickBot="1" x14ac:dyDescent="0.3">
      <c r="A32" s="513">
        <v>56000</v>
      </c>
      <c r="B32" s="514" t="s">
        <v>29</v>
      </c>
      <c r="C32" s="515">
        <v>14582</v>
      </c>
      <c r="D32" s="516">
        <v>5211</v>
      </c>
      <c r="E32" s="516">
        <f t="shared" si="0"/>
        <v>2084.4</v>
      </c>
      <c r="F32" s="516">
        <f t="shared" si="2"/>
        <v>16666.400000000001</v>
      </c>
      <c r="G32" s="510">
        <f t="shared" si="1"/>
        <v>299000</v>
      </c>
    </row>
    <row r="33" spans="1:7" ht="15.75" thickBot="1" x14ac:dyDescent="0.3">
      <c r="A33" s="517"/>
      <c r="B33" s="518" t="s">
        <v>30</v>
      </c>
      <c r="C33" s="519">
        <f>SUM(C7:C32)</f>
        <v>5873109</v>
      </c>
      <c r="D33" s="520">
        <f>SUM(D7:D32)</f>
        <v>512168</v>
      </c>
      <c r="E33" s="520">
        <f>SUM(E7:E32)</f>
        <v>204867.19999999998</v>
      </c>
      <c r="F33" s="520">
        <f>SUM(F7:F32)</f>
        <v>6077976.200000002</v>
      </c>
      <c r="G33" s="521">
        <f>SUM(G7:G32)</f>
        <v>109099000</v>
      </c>
    </row>
    <row r="34" spans="1:7" x14ac:dyDescent="0.25">
      <c r="A34" s="522"/>
      <c r="B34" s="522"/>
      <c r="C34" s="522"/>
      <c r="D34" s="522"/>
      <c r="E34" s="522"/>
      <c r="F34" s="522"/>
      <c r="G34" s="522"/>
    </row>
    <row r="35" spans="1:7" x14ac:dyDescent="0.25">
      <c r="A35" s="523" t="s">
        <v>163</v>
      </c>
      <c r="B35" s="523"/>
      <c r="C35" s="524"/>
      <c r="D35" s="525"/>
      <c r="E35" s="525"/>
      <c r="F35" s="526"/>
      <c r="G35" s="527">
        <v>17.95</v>
      </c>
    </row>
    <row r="36" spans="1:7" x14ac:dyDescent="0.25">
      <c r="A36" s="528" t="s">
        <v>164</v>
      </c>
      <c r="B36" s="528"/>
      <c r="C36" s="529"/>
      <c r="D36" s="530"/>
      <c r="E36" s="530"/>
      <c r="F36" s="531"/>
      <c r="G36" s="508">
        <f>+G33</f>
        <v>109099000</v>
      </c>
    </row>
    <row r="37" spans="1:7" x14ac:dyDescent="0.25">
      <c r="A37" s="523" t="s">
        <v>167</v>
      </c>
      <c r="B37" s="523"/>
      <c r="C37" s="524"/>
      <c r="D37" s="525"/>
      <c r="E37" s="525"/>
      <c r="F37" s="526"/>
      <c r="G37" s="532">
        <f>'1 Bilance'!O23</f>
        <v>120000000</v>
      </c>
    </row>
    <row r="38" spans="1:7" x14ac:dyDescent="0.25">
      <c r="A38" s="528" t="s">
        <v>165</v>
      </c>
      <c r="B38" s="528"/>
      <c r="C38" s="529"/>
      <c r="D38" s="530"/>
      <c r="E38" s="530"/>
      <c r="F38" s="531"/>
      <c r="G38" s="533">
        <f>G37-G36</f>
        <v>10901000</v>
      </c>
    </row>
    <row r="40" spans="1:7" x14ac:dyDescent="0.25">
      <c r="A40" s="41" t="s">
        <v>311</v>
      </c>
    </row>
  </sheetData>
  <mergeCells count="3">
    <mergeCell ref="A5:A6"/>
    <mergeCell ref="B5:B6"/>
    <mergeCell ref="G5:G6"/>
  </mergeCells>
  <hyperlinks>
    <hyperlink ref="A40" location="'0 Seznam'!A1" display="Seznam"/>
  </hyperlinks>
  <pageMargins left="0.70866141732283472" right="0.70866141732283472" top="0.78740157480314965" bottom="0.78740157480314965" header="0.31496062992125984" footer="0.31496062992125984"/>
  <pageSetup paperSize="9" scale="66" orientation="landscape" r:id="rId1"/>
  <headerFooter>
    <oddHeader xml:space="preserve">&amp;LČ. j. MSMT-1753/2020-1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46"/>
  <sheetViews>
    <sheetView zoomScale="85" zoomScaleNormal="85" workbookViewId="0">
      <selection activeCell="H5" sqref="H5"/>
    </sheetView>
  </sheetViews>
  <sheetFormatPr defaultRowHeight="15" x14ac:dyDescent="0.25"/>
  <cols>
    <col min="1" max="1" width="9.42578125" style="43" customWidth="1"/>
    <col min="2" max="2" width="56.140625" style="43" customWidth="1"/>
    <col min="3" max="3" width="13.7109375" style="43" customWidth="1"/>
    <col min="4" max="4" width="14.140625" style="43" customWidth="1"/>
    <col min="5" max="7" width="9.140625" style="43"/>
    <col min="8" max="8" width="12.5703125" style="43" bestFit="1" customWidth="1"/>
    <col min="9" max="9" width="10.5703125" style="43" bestFit="1" customWidth="1"/>
    <col min="10" max="16384" width="9.140625" style="43"/>
  </cols>
  <sheetData>
    <row r="1" spans="1:4" ht="27.75" x14ac:dyDescent="0.25">
      <c r="A1" s="303" t="s">
        <v>117</v>
      </c>
      <c r="B1" s="282"/>
      <c r="C1" s="282"/>
      <c r="D1" s="282"/>
    </row>
    <row r="2" spans="1:4" ht="23.25" x14ac:dyDescent="0.25">
      <c r="A2" s="304"/>
      <c r="B2" s="282"/>
      <c r="C2" s="282"/>
      <c r="D2" s="282"/>
    </row>
    <row r="3" spans="1:4" ht="20.25" x14ac:dyDescent="0.25">
      <c r="A3" s="305" t="s">
        <v>154</v>
      </c>
      <c r="B3" s="282"/>
      <c r="C3" s="282"/>
      <c r="D3" s="282"/>
    </row>
    <row r="4" spans="1:4" x14ac:dyDescent="0.25">
      <c r="A4" s="302"/>
      <c r="B4" s="302"/>
      <c r="C4" s="302"/>
      <c r="D4" s="302"/>
    </row>
    <row r="5" spans="1:4" ht="20.25" x14ac:dyDescent="0.25">
      <c r="A5" s="305" t="s">
        <v>118</v>
      </c>
      <c r="B5" s="306"/>
      <c r="C5" s="306"/>
      <c r="D5" s="306"/>
    </row>
    <row r="6" spans="1:4" x14ac:dyDescent="0.25">
      <c r="A6" s="307"/>
      <c r="B6" s="282"/>
      <c r="C6" s="282"/>
      <c r="D6" s="282"/>
    </row>
    <row r="7" spans="1:4" x14ac:dyDescent="0.25">
      <c r="A7" s="1096" t="s">
        <v>119</v>
      </c>
      <c r="B7" s="1097"/>
      <c r="C7" s="1098"/>
      <c r="D7" s="308">
        <f>C43</f>
        <v>124960</v>
      </c>
    </row>
    <row r="8" spans="1:4" x14ac:dyDescent="0.25">
      <c r="A8" s="1096" t="s">
        <v>120</v>
      </c>
      <c r="B8" s="1097"/>
      <c r="C8" s="1098"/>
      <c r="D8" s="309">
        <v>7743</v>
      </c>
    </row>
    <row r="9" spans="1:4" x14ac:dyDescent="0.25">
      <c r="A9" s="1096" t="s">
        <v>121</v>
      </c>
      <c r="B9" s="1097"/>
      <c r="C9" s="1098"/>
      <c r="D9" s="309">
        <v>5400</v>
      </c>
    </row>
    <row r="10" spans="1:4" x14ac:dyDescent="0.25">
      <c r="A10" s="1096" t="s">
        <v>122</v>
      </c>
      <c r="B10" s="1097"/>
      <c r="C10" s="1098"/>
      <c r="D10" s="308">
        <f>D43</f>
        <v>674784000</v>
      </c>
    </row>
    <row r="11" spans="1:4" x14ac:dyDescent="0.25">
      <c r="A11" s="1096" t="s">
        <v>123</v>
      </c>
      <c r="B11" s="1097"/>
      <c r="C11" s="1098"/>
      <c r="D11" s="308">
        <v>25000000</v>
      </c>
    </row>
    <row r="12" spans="1:4" x14ac:dyDescent="0.25">
      <c r="A12" s="310"/>
      <c r="B12" s="310"/>
      <c r="C12" s="310"/>
      <c r="D12" s="311"/>
    </row>
    <row r="13" spans="1:4" ht="20.25" x14ac:dyDescent="0.25">
      <c r="A13" s="305" t="s">
        <v>124</v>
      </c>
      <c r="B13" s="310"/>
      <c r="C13" s="310"/>
      <c r="D13" s="312"/>
    </row>
    <row r="14" spans="1:4" ht="15.75" thickBot="1" x14ac:dyDescent="0.3">
      <c r="A14" s="282"/>
      <c r="B14" s="282"/>
      <c r="C14" s="282"/>
      <c r="D14" s="313" t="s">
        <v>0</v>
      </c>
    </row>
    <row r="15" spans="1:4" x14ac:dyDescent="0.25">
      <c r="A15" s="1099" t="s">
        <v>2</v>
      </c>
      <c r="B15" s="1101" t="s">
        <v>125</v>
      </c>
      <c r="C15" s="1101" t="s">
        <v>126</v>
      </c>
      <c r="D15" s="1092" t="s">
        <v>127</v>
      </c>
    </row>
    <row r="16" spans="1:4" ht="15.75" thickBot="1" x14ac:dyDescent="0.3">
      <c r="A16" s="1100"/>
      <c r="B16" s="1102"/>
      <c r="C16" s="1102"/>
      <c r="D16" s="1093"/>
    </row>
    <row r="17" spans="1:4" x14ac:dyDescent="0.25">
      <c r="A17" s="314">
        <v>11000</v>
      </c>
      <c r="B17" s="315" t="s">
        <v>4</v>
      </c>
      <c r="C17" s="316">
        <v>19917</v>
      </c>
      <c r="D17" s="317">
        <f>+C17*$D$9</f>
        <v>107551800</v>
      </c>
    </row>
    <row r="18" spans="1:4" x14ac:dyDescent="0.25">
      <c r="A18" s="318">
        <v>12000</v>
      </c>
      <c r="B18" s="319" t="s">
        <v>5</v>
      </c>
      <c r="C18" s="320">
        <v>3718</v>
      </c>
      <c r="D18" s="321">
        <f t="shared" ref="D18:D42" si="0">+C18*$D$9</f>
        <v>20077200</v>
      </c>
    </row>
    <row r="19" spans="1:4" x14ac:dyDescent="0.25">
      <c r="A19" s="318">
        <v>13000</v>
      </c>
      <c r="B19" s="319" t="s">
        <v>6</v>
      </c>
      <c r="C19" s="320">
        <v>2662</v>
      </c>
      <c r="D19" s="321">
        <f t="shared" si="0"/>
        <v>14374800</v>
      </c>
    </row>
    <row r="20" spans="1:4" x14ac:dyDescent="0.25">
      <c r="A20" s="318">
        <v>14000</v>
      </c>
      <c r="B20" s="319" t="s">
        <v>7</v>
      </c>
      <c r="C20" s="320">
        <v>15471</v>
      </c>
      <c r="D20" s="321">
        <f t="shared" si="0"/>
        <v>83543400</v>
      </c>
    </row>
    <row r="21" spans="1:4" x14ac:dyDescent="0.25">
      <c r="A21" s="318">
        <v>15000</v>
      </c>
      <c r="B21" s="319" t="s">
        <v>8</v>
      </c>
      <c r="C21" s="320">
        <v>9755</v>
      </c>
      <c r="D21" s="321">
        <f t="shared" si="0"/>
        <v>52677000</v>
      </c>
    </row>
    <row r="22" spans="1:4" x14ac:dyDescent="0.25">
      <c r="A22" s="318">
        <v>16000</v>
      </c>
      <c r="B22" s="319" t="s">
        <v>9</v>
      </c>
      <c r="C22" s="320">
        <v>1847</v>
      </c>
      <c r="D22" s="321">
        <f t="shared" si="0"/>
        <v>9973800</v>
      </c>
    </row>
    <row r="23" spans="1:4" x14ac:dyDescent="0.25">
      <c r="A23" s="318">
        <v>17000</v>
      </c>
      <c r="B23" s="319" t="s">
        <v>10</v>
      </c>
      <c r="C23" s="320">
        <v>3355</v>
      </c>
      <c r="D23" s="321">
        <f t="shared" si="0"/>
        <v>18117000</v>
      </c>
    </row>
    <row r="24" spans="1:4" x14ac:dyDescent="0.25">
      <c r="A24" s="318">
        <v>18000</v>
      </c>
      <c r="B24" s="319" t="s">
        <v>11</v>
      </c>
      <c r="C24" s="320">
        <v>2512</v>
      </c>
      <c r="D24" s="321">
        <f t="shared" si="0"/>
        <v>13564800</v>
      </c>
    </row>
    <row r="25" spans="1:4" x14ac:dyDescent="0.25">
      <c r="A25" s="318">
        <v>19000</v>
      </c>
      <c r="B25" s="319" t="s">
        <v>12</v>
      </c>
      <c r="C25" s="320">
        <v>825</v>
      </c>
      <c r="D25" s="321">
        <f t="shared" si="0"/>
        <v>4455000</v>
      </c>
    </row>
    <row r="26" spans="1:4" x14ac:dyDescent="0.25">
      <c r="A26" s="318">
        <v>21000</v>
      </c>
      <c r="B26" s="319" t="s">
        <v>13</v>
      </c>
      <c r="C26" s="320">
        <v>9524</v>
      </c>
      <c r="D26" s="321">
        <f t="shared" si="0"/>
        <v>51429600</v>
      </c>
    </row>
    <row r="27" spans="1:4" x14ac:dyDescent="0.25">
      <c r="A27" s="318">
        <v>22000</v>
      </c>
      <c r="B27" s="319" t="s">
        <v>14</v>
      </c>
      <c r="C27" s="320">
        <v>2355</v>
      </c>
      <c r="D27" s="321">
        <f t="shared" si="0"/>
        <v>12717000</v>
      </c>
    </row>
    <row r="28" spans="1:4" x14ac:dyDescent="0.25">
      <c r="A28" s="318">
        <v>23000</v>
      </c>
      <c r="B28" s="319" t="s">
        <v>15</v>
      </c>
      <c r="C28" s="320">
        <v>5510</v>
      </c>
      <c r="D28" s="321">
        <f t="shared" si="0"/>
        <v>29754000</v>
      </c>
    </row>
    <row r="29" spans="1:4" x14ac:dyDescent="0.25">
      <c r="A29" s="318">
        <v>24000</v>
      </c>
      <c r="B29" s="319" t="s">
        <v>16</v>
      </c>
      <c r="C29" s="320">
        <v>2450</v>
      </c>
      <c r="D29" s="321">
        <f t="shared" si="0"/>
        <v>13230000</v>
      </c>
    </row>
    <row r="30" spans="1:4" x14ac:dyDescent="0.25">
      <c r="A30" s="318">
        <v>25000</v>
      </c>
      <c r="B30" s="319" t="s">
        <v>17</v>
      </c>
      <c r="C30" s="320">
        <v>3517</v>
      </c>
      <c r="D30" s="321">
        <f t="shared" si="0"/>
        <v>18991800</v>
      </c>
    </row>
    <row r="31" spans="1:4" x14ac:dyDescent="0.25">
      <c r="A31" s="318">
        <v>26000</v>
      </c>
      <c r="B31" s="319" t="s">
        <v>18</v>
      </c>
      <c r="C31" s="320">
        <v>12056</v>
      </c>
      <c r="D31" s="321">
        <f t="shared" si="0"/>
        <v>65102400</v>
      </c>
    </row>
    <row r="32" spans="1:4" x14ac:dyDescent="0.25">
      <c r="A32" s="318">
        <v>27000</v>
      </c>
      <c r="B32" s="319" t="s">
        <v>19</v>
      </c>
      <c r="C32" s="320">
        <v>4714</v>
      </c>
      <c r="D32" s="321">
        <f t="shared" si="0"/>
        <v>25455600</v>
      </c>
    </row>
    <row r="33" spans="1:4" x14ac:dyDescent="0.25">
      <c r="A33" s="318">
        <v>28000</v>
      </c>
      <c r="B33" s="319" t="s">
        <v>20</v>
      </c>
      <c r="C33" s="320">
        <v>3523</v>
      </c>
      <c r="D33" s="321">
        <f t="shared" si="0"/>
        <v>19024200</v>
      </c>
    </row>
    <row r="34" spans="1:4" x14ac:dyDescent="0.25">
      <c r="A34" s="318">
        <v>31000</v>
      </c>
      <c r="B34" s="319" t="s">
        <v>21</v>
      </c>
      <c r="C34" s="320">
        <v>6211</v>
      </c>
      <c r="D34" s="321">
        <f t="shared" si="0"/>
        <v>33539400</v>
      </c>
    </row>
    <row r="35" spans="1:4" x14ac:dyDescent="0.25">
      <c r="A35" s="318">
        <v>41000</v>
      </c>
      <c r="B35" s="319" t="s">
        <v>22</v>
      </c>
      <c r="C35" s="320">
        <v>7588</v>
      </c>
      <c r="D35" s="321">
        <f t="shared" si="0"/>
        <v>40975200</v>
      </c>
    </row>
    <row r="36" spans="1:4" x14ac:dyDescent="0.25">
      <c r="A36" s="318">
        <v>43000</v>
      </c>
      <c r="B36" s="319" t="s">
        <v>23</v>
      </c>
      <c r="C36" s="320">
        <v>4611</v>
      </c>
      <c r="D36" s="321">
        <f t="shared" si="0"/>
        <v>24899400</v>
      </c>
    </row>
    <row r="37" spans="1:4" x14ac:dyDescent="0.25">
      <c r="A37" s="318">
        <v>51000</v>
      </c>
      <c r="B37" s="319" t="s">
        <v>24</v>
      </c>
      <c r="C37" s="320">
        <v>522</v>
      </c>
      <c r="D37" s="321">
        <f t="shared" si="0"/>
        <v>2818800</v>
      </c>
    </row>
    <row r="38" spans="1:4" x14ac:dyDescent="0.25">
      <c r="A38" s="318">
        <v>52000</v>
      </c>
      <c r="B38" s="319" t="s">
        <v>25</v>
      </c>
      <c r="C38" s="320">
        <v>147</v>
      </c>
      <c r="D38" s="321">
        <f t="shared" si="0"/>
        <v>793800</v>
      </c>
    </row>
    <row r="39" spans="1:4" x14ac:dyDescent="0.25">
      <c r="A39" s="318">
        <v>53000</v>
      </c>
      <c r="B39" s="319" t="s">
        <v>26</v>
      </c>
      <c r="C39" s="320">
        <v>263</v>
      </c>
      <c r="D39" s="321">
        <f t="shared" si="0"/>
        <v>1420200</v>
      </c>
    </row>
    <row r="40" spans="1:4" x14ac:dyDescent="0.25">
      <c r="A40" s="318">
        <v>54000</v>
      </c>
      <c r="B40" s="319" t="s">
        <v>27</v>
      </c>
      <c r="C40" s="320">
        <v>435</v>
      </c>
      <c r="D40" s="321">
        <f t="shared" si="0"/>
        <v>2349000</v>
      </c>
    </row>
    <row r="41" spans="1:4" x14ac:dyDescent="0.25">
      <c r="A41" s="318">
        <v>55000</v>
      </c>
      <c r="B41" s="319" t="s">
        <v>28</v>
      </c>
      <c r="C41" s="320">
        <v>650</v>
      </c>
      <c r="D41" s="321">
        <f t="shared" si="0"/>
        <v>3510000</v>
      </c>
    </row>
    <row r="42" spans="1:4" ht="15.75" thickBot="1" x14ac:dyDescent="0.3">
      <c r="A42" s="322">
        <v>56000</v>
      </c>
      <c r="B42" s="323" t="s">
        <v>29</v>
      </c>
      <c r="C42" s="324">
        <v>822</v>
      </c>
      <c r="D42" s="325">
        <f t="shared" si="0"/>
        <v>4438800</v>
      </c>
    </row>
    <row r="43" spans="1:4" ht="15.75" thickBot="1" x14ac:dyDescent="0.3">
      <c r="A43" s="1094" t="s">
        <v>128</v>
      </c>
      <c r="B43" s="1095"/>
      <c r="C43" s="326">
        <f>SUM(C17:C42)</f>
        <v>124960</v>
      </c>
      <c r="D43" s="327">
        <f>SUM(D17:D42)</f>
        <v>674784000</v>
      </c>
    </row>
    <row r="44" spans="1:4" x14ac:dyDescent="0.25">
      <c r="A44" s="282" t="s">
        <v>129</v>
      </c>
      <c r="B44" s="279"/>
      <c r="C44" s="279"/>
      <c r="D44" s="279"/>
    </row>
    <row r="46" spans="1:4" x14ac:dyDescent="0.25">
      <c r="A46" s="41" t="s">
        <v>311</v>
      </c>
    </row>
  </sheetData>
  <mergeCells count="10">
    <mergeCell ref="D15:D16"/>
    <mergeCell ref="A43:B43"/>
    <mergeCell ref="A7:C7"/>
    <mergeCell ref="A8:C8"/>
    <mergeCell ref="A9:C9"/>
    <mergeCell ref="A10:C10"/>
    <mergeCell ref="A11:C11"/>
    <mergeCell ref="A15:A16"/>
    <mergeCell ref="B15:B16"/>
    <mergeCell ref="C15:C16"/>
  </mergeCells>
  <hyperlinks>
    <hyperlink ref="A46" location="'0 Seznam'!A1" display="Seznam"/>
  </hyperlinks>
  <pageMargins left="0.70866141732283472" right="0.70866141732283472" top="0.78740157480314965" bottom="0.78740157480314965" header="0.31496062992125984" footer="0.31496062992125984"/>
  <pageSetup paperSize="9" scale="66" orientation="portrait" r:id="rId1"/>
  <headerFooter>
    <oddHeader xml:space="preserve">&amp;LČ. j. MSMT-1753/2020-1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35"/>
  <sheetViews>
    <sheetView zoomScale="85" zoomScaleNormal="85" workbookViewId="0">
      <selection activeCell="G11" sqref="G11"/>
    </sheetView>
  </sheetViews>
  <sheetFormatPr defaultRowHeight="15" x14ac:dyDescent="0.25"/>
  <cols>
    <col min="1" max="1" width="11.140625" customWidth="1"/>
    <col min="2" max="2" width="60.7109375" customWidth="1"/>
    <col min="3" max="3" width="17.28515625" customWidth="1"/>
  </cols>
  <sheetData>
    <row r="1" spans="1:3" ht="27.75" x14ac:dyDescent="0.25">
      <c r="A1" s="762" t="s">
        <v>219</v>
      </c>
      <c r="B1" s="763"/>
      <c r="C1" s="763"/>
    </row>
    <row r="2" spans="1:3" x14ac:dyDescent="0.25">
      <c r="A2" s="764"/>
      <c r="B2" s="763"/>
      <c r="C2" s="763"/>
    </row>
    <row r="3" spans="1:3" ht="20.25" x14ac:dyDescent="0.25">
      <c r="A3" s="765" t="s">
        <v>221</v>
      </c>
      <c r="B3" s="763"/>
      <c r="C3" s="766"/>
    </row>
    <row r="4" spans="1:3" x14ac:dyDescent="0.25">
      <c r="A4" s="767"/>
      <c r="B4" s="763"/>
      <c r="C4" s="766"/>
    </row>
    <row r="5" spans="1:3" ht="15.75" thickBot="1" x14ac:dyDescent="0.3">
      <c r="A5" s="768"/>
      <c r="B5" s="768"/>
      <c r="C5" s="769" t="s">
        <v>0</v>
      </c>
    </row>
    <row r="6" spans="1:3" ht="30.75" thickBot="1" x14ac:dyDescent="0.3">
      <c r="A6" s="770" t="s">
        <v>2</v>
      </c>
      <c r="B6" s="771" t="s">
        <v>3</v>
      </c>
      <c r="C6" s="772" t="s">
        <v>220</v>
      </c>
    </row>
    <row r="7" spans="1:3" x14ac:dyDescent="0.25">
      <c r="A7" s="773">
        <v>11000</v>
      </c>
      <c r="B7" s="774" t="s">
        <v>4</v>
      </c>
      <c r="C7" s="775">
        <v>192786913.49339017</v>
      </c>
    </row>
    <row r="8" spans="1:3" x14ac:dyDescent="0.25">
      <c r="A8" s="776">
        <v>12000</v>
      </c>
      <c r="B8" s="774" t="s">
        <v>5</v>
      </c>
      <c r="C8" s="775">
        <v>32130324.133257754</v>
      </c>
    </row>
    <row r="9" spans="1:3" x14ac:dyDescent="0.25">
      <c r="A9" s="776">
        <v>13000</v>
      </c>
      <c r="B9" s="774" t="s">
        <v>6</v>
      </c>
      <c r="C9" s="775">
        <v>25486502.49062185</v>
      </c>
    </row>
    <row r="10" spans="1:3" x14ac:dyDescent="0.25">
      <c r="A10" s="776">
        <v>14000</v>
      </c>
      <c r="B10" s="774" t="s">
        <v>7</v>
      </c>
      <c r="C10" s="775">
        <v>115628859.53559446</v>
      </c>
    </row>
    <row r="11" spans="1:3" x14ac:dyDescent="0.25">
      <c r="A11" s="776">
        <v>15000</v>
      </c>
      <c r="B11" s="774" t="s">
        <v>8</v>
      </c>
      <c r="C11" s="775">
        <v>69979523.235631198</v>
      </c>
    </row>
    <row r="12" spans="1:3" x14ac:dyDescent="0.25">
      <c r="A12" s="776">
        <v>16000</v>
      </c>
      <c r="B12" s="774" t="s">
        <v>9</v>
      </c>
      <c r="C12" s="775">
        <v>13808088.69307095</v>
      </c>
    </row>
    <row r="13" spans="1:3" x14ac:dyDescent="0.25">
      <c r="A13" s="776">
        <v>17000</v>
      </c>
      <c r="B13" s="774" t="s">
        <v>10</v>
      </c>
      <c r="C13" s="775">
        <v>28868319.66339099</v>
      </c>
    </row>
    <row r="14" spans="1:3" x14ac:dyDescent="0.25">
      <c r="A14" s="776">
        <v>18000</v>
      </c>
      <c r="B14" s="774" t="s">
        <v>11</v>
      </c>
      <c r="C14" s="775">
        <v>21276852.072921127</v>
      </c>
    </row>
    <row r="15" spans="1:3" x14ac:dyDescent="0.25">
      <c r="A15" s="776">
        <v>19000</v>
      </c>
      <c r="B15" s="774" t="s">
        <v>12</v>
      </c>
      <c r="C15" s="775">
        <v>14193730.240128862</v>
      </c>
    </row>
    <row r="16" spans="1:3" x14ac:dyDescent="0.25">
      <c r="A16" s="776">
        <v>21000</v>
      </c>
      <c r="B16" s="774" t="s">
        <v>13</v>
      </c>
      <c r="C16" s="777">
        <v>77376495.4791805</v>
      </c>
    </row>
    <row r="17" spans="1:3" x14ac:dyDescent="0.25">
      <c r="A17" s="776">
        <v>22000</v>
      </c>
      <c r="B17" s="774" t="s">
        <v>14</v>
      </c>
      <c r="C17" s="775">
        <v>22642026.900199607</v>
      </c>
    </row>
    <row r="18" spans="1:3" x14ac:dyDescent="0.25">
      <c r="A18" s="776">
        <v>23000</v>
      </c>
      <c r="B18" s="774" t="s">
        <v>15</v>
      </c>
      <c r="C18" s="775">
        <v>38173562.895330936</v>
      </c>
    </row>
    <row r="19" spans="1:3" x14ac:dyDescent="0.25">
      <c r="A19" s="776">
        <v>24000</v>
      </c>
      <c r="B19" s="774" t="s">
        <v>16</v>
      </c>
      <c r="C19" s="775">
        <v>23022372.629596937</v>
      </c>
    </row>
    <row r="20" spans="1:3" x14ac:dyDescent="0.25">
      <c r="A20" s="776">
        <v>25000</v>
      </c>
      <c r="B20" s="774" t="s">
        <v>17</v>
      </c>
      <c r="C20" s="775">
        <v>27345721.99554982</v>
      </c>
    </row>
    <row r="21" spans="1:3" x14ac:dyDescent="0.25">
      <c r="A21" s="776">
        <v>26000</v>
      </c>
      <c r="B21" s="774" t="s">
        <v>18</v>
      </c>
      <c r="C21" s="775">
        <v>68123967.604023442</v>
      </c>
    </row>
    <row r="22" spans="1:3" x14ac:dyDescent="0.25">
      <c r="A22" s="776">
        <v>27000</v>
      </c>
      <c r="B22" s="774" t="s">
        <v>19</v>
      </c>
      <c r="C22" s="775">
        <v>46817893.046134256</v>
      </c>
    </row>
    <row r="23" spans="1:3" x14ac:dyDescent="0.25">
      <c r="A23" s="776">
        <v>28000</v>
      </c>
      <c r="B23" s="774" t="s">
        <v>20</v>
      </c>
      <c r="C23" s="775">
        <v>29943013.923991617</v>
      </c>
    </row>
    <row r="24" spans="1:3" x14ac:dyDescent="0.25">
      <c r="A24" s="776">
        <v>31000</v>
      </c>
      <c r="B24" s="774" t="s">
        <v>21</v>
      </c>
      <c r="C24" s="775">
        <v>47237158.283234157</v>
      </c>
    </row>
    <row r="25" spans="1:3" x14ac:dyDescent="0.25">
      <c r="A25" s="776">
        <v>41000</v>
      </c>
      <c r="B25" s="774" t="s">
        <v>22</v>
      </c>
      <c r="C25" s="775">
        <v>63438905.707138121</v>
      </c>
    </row>
    <row r="26" spans="1:3" x14ac:dyDescent="0.25">
      <c r="A26" s="776">
        <v>43000</v>
      </c>
      <c r="B26" s="774" t="s">
        <v>23</v>
      </c>
      <c r="C26" s="775">
        <v>33366779.935381144</v>
      </c>
    </row>
    <row r="27" spans="1:3" x14ac:dyDescent="0.25">
      <c r="A27" s="776">
        <v>51000</v>
      </c>
      <c r="B27" s="778" t="s">
        <v>24</v>
      </c>
      <c r="C27" s="777">
        <v>13118687.914681965</v>
      </c>
    </row>
    <row r="28" spans="1:3" x14ac:dyDescent="0.25">
      <c r="A28" s="776">
        <v>52000</v>
      </c>
      <c r="B28" s="778" t="s">
        <v>25</v>
      </c>
      <c r="C28" s="777">
        <v>3087530.1253157565</v>
      </c>
    </row>
    <row r="29" spans="1:3" x14ac:dyDescent="0.25">
      <c r="A29" s="776">
        <v>53000</v>
      </c>
      <c r="B29" s="778" t="s">
        <v>26</v>
      </c>
      <c r="C29" s="777">
        <v>4687352.4778484572</v>
      </c>
    </row>
    <row r="30" spans="1:3" x14ac:dyDescent="0.25">
      <c r="A30" s="776">
        <v>54000</v>
      </c>
      <c r="B30" s="778" t="s">
        <v>27</v>
      </c>
      <c r="C30" s="777">
        <v>7494471.4850818012</v>
      </c>
    </row>
    <row r="31" spans="1:3" x14ac:dyDescent="0.25">
      <c r="A31" s="776">
        <v>55000</v>
      </c>
      <c r="B31" s="778" t="s">
        <v>28</v>
      </c>
      <c r="C31" s="777">
        <v>6207228.5125777042</v>
      </c>
    </row>
    <row r="32" spans="1:3" ht="15.75" thickBot="1" x14ac:dyDescent="0.3">
      <c r="A32" s="779">
        <v>56000</v>
      </c>
      <c r="B32" s="643" t="s">
        <v>29</v>
      </c>
      <c r="C32" s="780">
        <v>8757717.5267264992</v>
      </c>
    </row>
    <row r="33" spans="1:3" ht="15.75" thickBot="1" x14ac:dyDescent="0.3">
      <c r="A33" s="1103" t="s">
        <v>30</v>
      </c>
      <c r="B33" s="1104"/>
      <c r="C33" s="781">
        <f>SUM(C7:C32)</f>
        <v>1034999999.9999998</v>
      </c>
    </row>
    <row r="35" spans="1:3" x14ac:dyDescent="0.25">
      <c r="A35" s="41" t="s">
        <v>311</v>
      </c>
    </row>
  </sheetData>
  <mergeCells count="1">
    <mergeCell ref="A33:B33"/>
  </mergeCells>
  <hyperlinks>
    <hyperlink ref="A35" location="'0 Seznam'!A1" display="Seznam"/>
  </hyperlinks>
  <pageMargins left="0.70866141732283472" right="0.70866141732283472" top="0.78740157480314965" bottom="0.78740157480314965" header="0.31496062992125984" footer="0.31496062992125984"/>
  <pageSetup paperSize="9" scale="66" orientation="portrait" r:id="rId1"/>
  <headerFooter>
    <oddHeader xml:space="preserve">&amp;LČ. j. MSMT-1753/2020-1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123"/>
  <sheetViews>
    <sheetView zoomScale="85" zoomScaleNormal="85" workbookViewId="0">
      <selection activeCell="L3" sqref="L3"/>
    </sheetView>
  </sheetViews>
  <sheetFormatPr defaultRowHeight="15" x14ac:dyDescent="0.25"/>
  <cols>
    <col min="1" max="1" width="9.140625" style="43"/>
    <col min="2" max="2" width="55" style="43" customWidth="1"/>
    <col min="3" max="7" width="16" style="43" customWidth="1"/>
    <col min="8" max="10" width="16.140625" style="43" customWidth="1"/>
    <col min="11" max="11" width="9.140625" style="43"/>
    <col min="12" max="12" width="13.5703125" style="43" customWidth="1"/>
    <col min="13" max="16384" width="9.140625" style="43"/>
  </cols>
  <sheetData>
    <row r="1" spans="1:12" ht="27.75" x14ac:dyDescent="0.4">
      <c r="A1" s="657" t="s">
        <v>194</v>
      </c>
    </row>
    <row r="3" spans="1:12" ht="20.25" x14ac:dyDescent="0.3">
      <c r="A3" s="658" t="s">
        <v>199</v>
      </c>
    </row>
    <row r="4" spans="1:12" ht="15.75" thickBot="1" x14ac:dyDescent="0.3">
      <c r="J4" s="42" t="s">
        <v>0</v>
      </c>
    </row>
    <row r="5" spans="1:12" x14ac:dyDescent="0.25">
      <c r="A5" s="1107" t="s">
        <v>195</v>
      </c>
      <c r="B5" s="1108"/>
      <c r="C5" s="1109" t="s">
        <v>281</v>
      </c>
      <c r="D5" s="1110"/>
      <c r="E5" s="1109" t="s">
        <v>196</v>
      </c>
      <c r="F5" s="1111"/>
      <c r="G5" s="1112" t="s">
        <v>197</v>
      </c>
      <c r="H5" s="1110"/>
      <c r="I5" s="1113" t="s">
        <v>200</v>
      </c>
      <c r="J5" s="1114"/>
    </row>
    <row r="6" spans="1:12" ht="15.75" thickBot="1" x14ac:dyDescent="0.3">
      <c r="A6" s="1105" t="s">
        <v>132</v>
      </c>
      <c r="B6" s="1106"/>
      <c r="C6" s="659"/>
      <c r="D6" s="660">
        <v>0.75</v>
      </c>
      <c r="E6" s="661"/>
      <c r="F6" s="662">
        <v>0.15</v>
      </c>
      <c r="G6" s="663"/>
      <c r="H6" s="660">
        <v>0.1</v>
      </c>
      <c r="I6" s="664">
        <f>D6+F6+H6</f>
        <v>1</v>
      </c>
      <c r="J6" s="665">
        <v>200000000</v>
      </c>
    </row>
    <row r="7" spans="1:12" x14ac:dyDescent="0.25">
      <c r="A7" s="666">
        <v>1100</v>
      </c>
      <c r="B7" s="667" t="s">
        <v>4</v>
      </c>
      <c r="C7" s="668"/>
      <c r="D7" s="669">
        <f>D36</f>
        <v>0.18984799999999999</v>
      </c>
      <c r="E7" s="670"/>
      <c r="F7" s="671">
        <f t="shared" ref="F7:F32" si="0">0.5*F36+0.3*F65+0.2*F94</f>
        <v>0.20632127233443348</v>
      </c>
      <c r="G7" s="672"/>
      <c r="H7" s="671">
        <f t="shared" ref="H7:H32" si="1">0.5*H36+0.3*H65+0.2*H94</f>
        <v>0.24140847241682187</v>
      </c>
      <c r="I7" s="673">
        <f>$D$6*D7+$F$6*F7+$H$6*H7</f>
        <v>0.19747503809184719</v>
      </c>
      <c r="J7" s="674">
        <f>ROUND($J$6*I7,-3)</f>
        <v>39495000</v>
      </c>
      <c r="L7" s="675"/>
    </row>
    <row r="8" spans="1:12" x14ac:dyDescent="0.25">
      <c r="A8" s="676">
        <v>1200</v>
      </c>
      <c r="B8" s="677" t="s">
        <v>5</v>
      </c>
      <c r="C8" s="678"/>
      <c r="D8" s="679">
        <f t="shared" ref="D8:D32" si="2">D37</f>
        <v>1.8235999999999999E-2</v>
      </c>
      <c r="E8" s="680"/>
      <c r="F8" s="681">
        <f t="shared" si="0"/>
        <v>2.163733464278662E-2</v>
      </c>
      <c r="G8" s="682"/>
      <c r="H8" s="681">
        <f t="shared" si="1"/>
        <v>1.2418651447830973E-2</v>
      </c>
      <c r="I8" s="683">
        <f t="shared" ref="I8:I32" si="3">$D$6*D8+$F$6*F8+$H$6*H8</f>
        <v>1.8164465341201089E-2</v>
      </c>
      <c r="J8" s="684">
        <f>ROUND($J$6*I8-100,-3)</f>
        <v>3633000</v>
      </c>
      <c r="L8" s="675"/>
    </row>
    <row r="9" spans="1:12" x14ac:dyDescent="0.25">
      <c r="A9" s="676">
        <v>1300</v>
      </c>
      <c r="B9" s="677" t="s">
        <v>6</v>
      </c>
      <c r="C9" s="678"/>
      <c r="D9" s="679">
        <f t="shared" si="2"/>
        <v>3.0727999999999998E-2</v>
      </c>
      <c r="E9" s="680"/>
      <c r="F9" s="681">
        <f t="shared" si="0"/>
        <v>1.9766458472718997E-2</v>
      </c>
      <c r="G9" s="682"/>
      <c r="H9" s="681">
        <f t="shared" si="1"/>
        <v>1.0822529528162777E-2</v>
      </c>
      <c r="I9" s="685">
        <f t="shared" si="3"/>
        <v>2.7093221723724123E-2</v>
      </c>
      <c r="J9" s="684">
        <f t="shared" ref="J9:J32" si="4">ROUND($J$6*I9,-3)</f>
        <v>5419000</v>
      </c>
      <c r="L9" s="675"/>
    </row>
    <row r="10" spans="1:12" x14ac:dyDescent="0.25">
      <c r="A10" s="676">
        <v>1400</v>
      </c>
      <c r="B10" s="677" t="s">
        <v>7</v>
      </c>
      <c r="C10" s="678"/>
      <c r="D10" s="679">
        <f t="shared" si="2"/>
        <v>0.152776</v>
      </c>
      <c r="E10" s="680"/>
      <c r="F10" s="681">
        <f t="shared" si="0"/>
        <v>0.16154202141636087</v>
      </c>
      <c r="G10" s="682"/>
      <c r="H10" s="681">
        <f t="shared" si="1"/>
        <v>0.13871581319061646</v>
      </c>
      <c r="I10" s="685">
        <f t="shared" si="3"/>
        <v>0.15268488453151574</v>
      </c>
      <c r="J10" s="684">
        <f t="shared" si="4"/>
        <v>30537000</v>
      </c>
      <c r="L10" s="675"/>
    </row>
    <row r="11" spans="1:12" x14ac:dyDescent="0.25">
      <c r="A11" s="676">
        <v>1500</v>
      </c>
      <c r="B11" s="677" t="s">
        <v>8</v>
      </c>
      <c r="C11" s="678"/>
      <c r="D11" s="679">
        <f t="shared" si="2"/>
        <v>7.4036000000000005E-2</v>
      </c>
      <c r="E11" s="680"/>
      <c r="F11" s="681">
        <f t="shared" si="0"/>
        <v>8.9339496630070209E-2</v>
      </c>
      <c r="G11" s="682"/>
      <c r="H11" s="681">
        <f t="shared" si="1"/>
        <v>5.4966223167364915E-2</v>
      </c>
      <c r="I11" s="685">
        <f t="shared" si="3"/>
        <v>7.4424546811247036E-2</v>
      </c>
      <c r="J11" s="684">
        <f t="shared" si="4"/>
        <v>14885000</v>
      </c>
      <c r="L11" s="675"/>
    </row>
    <row r="12" spans="1:12" x14ac:dyDescent="0.25">
      <c r="A12" s="676">
        <v>1600</v>
      </c>
      <c r="B12" s="677" t="s">
        <v>9</v>
      </c>
      <c r="C12" s="678"/>
      <c r="D12" s="679">
        <f t="shared" si="2"/>
        <v>8.2880000000000002E-3</v>
      </c>
      <c r="E12" s="680"/>
      <c r="F12" s="681">
        <f t="shared" si="0"/>
        <v>1.8356675538802622E-3</v>
      </c>
      <c r="G12" s="682"/>
      <c r="H12" s="681">
        <f t="shared" si="1"/>
        <v>1.1699688978781026E-2</v>
      </c>
      <c r="I12" s="685">
        <f t="shared" si="3"/>
        <v>7.6613190309601422E-3</v>
      </c>
      <c r="J12" s="684">
        <f t="shared" si="4"/>
        <v>1532000</v>
      </c>
      <c r="L12" s="675"/>
    </row>
    <row r="13" spans="1:12" x14ac:dyDescent="0.25">
      <c r="A13" s="676">
        <v>1700</v>
      </c>
      <c r="B13" s="677" t="s">
        <v>10</v>
      </c>
      <c r="C13" s="678"/>
      <c r="D13" s="679">
        <f t="shared" si="2"/>
        <v>3.6996000000000001E-2</v>
      </c>
      <c r="E13" s="680"/>
      <c r="F13" s="681">
        <f t="shared" si="0"/>
        <v>2.1907509021544844E-2</v>
      </c>
      <c r="G13" s="682"/>
      <c r="H13" s="681">
        <f t="shared" si="1"/>
        <v>1.8814613707417566E-2</v>
      </c>
      <c r="I13" s="685">
        <f t="shared" si="3"/>
        <v>3.291458772397348E-2</v>
      </c>
      <c r="J13" s="684">
        <f t="shared" si="4"/>
        <v>6583000</v>
      </c>
      <c r="L13" s="675"/>
    </row>
    <row r="14" spans="1:12" x14ac:dyDescent="0.25">
      <c r="A14" s="676">
        <v>1800</v>
      </c>
      <c r="B14" s="677" t="s">
        <v>11</v>
      </c>
      <c r="C14" s="678"/>
      <c r="D14" s="679">
        <f t="shared" si="2"/>
        <v>2.3060000000000001E-2</v>
      </c>
      <c r="E14" s="680"/>
      <c r="F14" s="681">
        <f t="shared" si="0"/>
        <v>2.7794718971936038E-2</v>
      </c>
      <c r="G14" s="682"/>
      <c r="H14" s="681">
        <f t="shared" si="1"/>
        <v>2.4549322212440609E-2</v>
      </c>
      <c r="I14" s="685">
        <f t="shared" si="3"/>
        <v>2.391914006703447E-2</v>
      </c>
      <c r="J14" s="684">
        <f>ROUND($J$6*I14,-3)</f>
        <v>4784000</v>
      </c>
      <c r="L14" s="675"/>
    </row>
    <row r="15" spans="1:12" x14ac:dyDescent="0.25">
      <c r="A15" s="676">
        <v>1900</v>
      </c>
      <c r="B15" s="677" t="s">
        <v>12</v>
      </c>
      <c r="C15" s="678"/>
      <c r="D15" s="679">
        <f t="shared" si="2"/>
        <v>1.0572E-2</v>
      </c>
      <c r="E15" s="680"/>
      <c r="F15" s="681">
        <f t="shared" si="0"/>
        <v>8.224581289505619E-3</v>
      </c>
      <c r="G15" s="682"/>
      <c r="H15" s="681">
        <f t="shared" si="1"/>
        <v>2.9567937291317343E-3</v>
      </c>
      <c r="I15" s="685">
        <f t="shared" si="3"/>
        <v>9.4583665663390167E-3</v>
      </c>
      <c r="J15" s="684">
        <f t="shared" si="4"/>
        <v>1892000</v>
      </c>
      <c r="L15" s="675"/>
    </row>
    <row r="16" spans="1:12" x14ac:dyDescent="0.25">
      <c r="A16" s="676">
        <v>2100</v>
      </c>
      <c r="B16" s="677" t="s">
        <v>13</v>
      </c>
      <c r="C16" s="678"/>
      <c r="D16" s="679">
        <f t="shared" si="2"/>
        <v>5.1091999999999999E-2</v>
      </c>
      <c r="E16" s="680"/>
      <c r="F16" s="681">
        <f t="shared" si="0"/>
        <v>6.3122304380542144E-2</v>
      </c>
      <c r="G16" s="682"/>
      <c r="H16" s="681">
        <f t="shared" si="1"/>
        <v>9.8996755603238326E-2</v>
      </c>
      <c r="I16" s="685">
        <f t="shared" si="3"/>
        <v>5.7687021217405154E-2</v>
      </c>
      <c r="J16" s="684">
        <f t="shared" si="4"/>
        <v>11537000</v>
      </c>
      <c r="L16" s="675"/>
    </row>
    <row r="17" spans="1:12" x14ac:dyDescent="0.25">
      <c r="A17" s="676">
        <v>2200</v>
      </c>
      <c r="B17" s="677" t="s">
        <v>14</v>
      </c>
      <c r="C17" s="678"/>
      <c r="D17" s="679">
        <f t="shared" si="2"/>
        <v>1.3908E-2</v>
      </c>
      <c r="E17" s="680"/>
      <c r="F17" s="681">
        <f t="shared" si="0"/>
        <v>1.25682816800196E-2</v>
      </c>
      <c r="G17" s="682"/>
      <c r="H17" s="681">
        <f t="shared" si="1"/>
        <v>1.8138751312258693E-2</v>
      </c>
      <c r="I17" s="685">
        <f t="shared" si="3"/>
        <v>1.4130117383228809E-2</v>
      </c>
      <c r="J17" s="684">
        <f t="shared" si="4"/>
        <v>2826000</v>
      </c>
      <c r="L17" s="675"/>
    </row>
    <row r="18" spans="1:12" x14ac:dyDescent="0.25">
      <c r="A18" s="676">
        <v>2300</v>
      </c>
      <c r="B18" s="677" t="s">
        <v>15</v>
      </c>
      <c r="C18" s="678"/>
      <c r="D18" s="679">
        <f t="shared" si="2"/>
        <v>3.39E-2</v>
      </c>
      <c r="E18" s="680"/>
      <c r="F18" s="681">
        <f t="shared" si="0"/>
        <v>3.2335376376300191E-2</v>
      </c>
      <c r="G18" s="682"/>
      <c r="H18" s="681">
        <f t="shared" si="1"/>
        <v>2.2222405738946738E-2</v>
      </c>
      <c r="I18" s="685">
        <f t="shared" si="3"/>
        <v>3.2497547030339705E-2</v>
      </c>
      <c r="J18" s="684">
        <f t="shared" si="4"/>
        <v>6500000</v>
      </c>
      <c r="L18" s="675"/>
    </row>
    <row r="19" spans="1:12" x14ac:dyDescent="0.25">
      <c r="A19" s="676">
        <v>2400</v>
      </c>
      <c r="B19" s="677" t="s">
        <v>16</v>
      </c>
      <c r="C19" s="678"/>
      <c r="D19" s="679">
        <f t="shared" si="2"/>
        <v>2.3824000000000001E-2</v>
      </c>
      <c r="E19" s="680"/>
      <c r="F19" s="681">
        <f t="shared" si="0"/>
        <v>1.942524021523442E-2</v>
      </c>
      <c r="G19" s="682"/>
      <c r="H19" s="681">
        <f t="shared" si="1"/>
        <v>1.8659165503780224E-2</v>
      </c>
      <c r="I19" s="685">
        <f t="shared" si="3"/>
        <v>2.2647702582663187E-2</v>
      </c>
      <c r="J19" s="684">
        <f t="shared" si="4"/>
        <v>4530000</v>
      </c>
      <c r="L19" s="675"/>
    </row>
    <row r="20" spans="1:12" x14ac:dyDescent="0.25">
      <c r="A20" s="676">
        <v>2500</v>
      </c>
      <c r="B20" s="677" t="s">
        <v>17</v>
      </c>
      <c r="C20" s="678"/>
      <c r="D20" s="679">
        <f t="shared" si="2"/>
        <v>2.2544000000000002E-2</v>
      </c>
      <c r="E20" s="680"/>
      <c r="F20" s="681">
        <f t="shared" si="0"/>
        <v>1.6894209198067209E-2</v>
      </c>
      <c r="G20" s="682"/>
      <c r="H20" s="681">
        <f t="shared" si="1"/>
        <v>1.6732170184472376E-2</v>
      </c>
      <c r="I20" s="685">
        <f t="shared" si="3"/>
        <v>2.1115348398157319E-2</v>
      </c>
      <c r="J20" s="684">
        <f>ROUND($J$6*I20,-3)</f>
        <v>4223000</v>
      </c>
      <c r="L20" s="675"/>
    </row>
    <row r="21" spans="1:12" x14ac:dyDescent="0.25">
      <c r="A21" s="676">
        <v>2600</v>
      </c>
      <c r="B21" s="677" t="s">
        <v>18</v>
      </c>
      <c r="C21" s="678"/>
      <c r="D21" s="679">
        <f t="shared" si="2"/>
        <v>8.2063999999999998E-2</v>
      </c>
      <c r="E21" s="680"/>
      <c r="F21" s="681">
        <f t="shared" si="0"/>
        <v>6.4517081255033498E-2</v>
      </c>
      <c r="G21" s="682"/>
      <c r="H21" s="681">
        <f t="shared" si="1"/>
        <v>4.8997518219169062E-2</v>
      </c>
      <c r="I21" s="685">
        <f t="shared" si="3"/>
        <v>7.6125314010171932E-2</v>
      </c>
      <c r="J21" s="684">
        <f t="shared" si="4"/>
        <v>15225000</v>
      </c>
      <c r="L21" s="675"/>
    </row>
    <row r="22" spans="1:12" x14ac:dyDescent="0.25">
      <c r="A22" s="676">
        <v>2700</v>
      </c>
      <c r="B22" s="677" t="s">
        <v>19</v>
      </c>
      <c r="C22" s="678"/>
      <c r="D22" s="679">
        <f t="shared" si="2"/>
        <v>3.1851999999999998E-2</v>
      </c>
      <c r="E22" s="680"/>
      <c r="F22" s="681">
        <f t="shared" si="0"/>
        <v>2.1769781105666373E-2</v>
      </c>
      <c r="G22" s="682"/>
      <c r="H22" s="681">
        <f t="shared" si="1"/>
        <v>4.411882180824156E-2</v>
      </c>
      <c r="I22" s="685">
        <f t="shared" si="3"/>
        <v>3.1566349346674114E-2</v>
      </c>
      <c r="J22" s="684">
        <f t="shared" si="4"/>
        <v>6313000</v>
      </c>
      <c r="L22" s="675"/>
    </row>
    <row r="23" spans="1:12" x14ac:dyDescent="0.25">
      <c r="A23" s="676">
        <v>2800</v>
      </c>
      <c r="B23" s="677" t="s">
        <v>20</v>
      </c>
      <c r="C23" s="678"/>
      <c r="D23" s="679">
        <f t="shared" si="2"/>
        <v>2.0576000000000001E-2</v>
      </c>
      <c r="E23" s="680"/>
      <c r="F23" s="681">
        <f t="shared" si="0"/>
        <v>2.3674918102289558E-2</v>
      </c>
      <c r="G23" s="682"/>
      <c r="H23" s="681">
        <f t="shared" si="1"/>
        <v>2.0454020867492421E-2</v>
      </c>
      <c r="I23" s="685">
        <f t="shared" si="3"/>
        <v>2.1028639802092675E-2</v>
      </c>
      <c r="J23" s="684">
        <f t="shared" si="4"/>
        <v>4206000</v>
      </c>
      <c r="L23" s="675"/>
    </row>
    <row r="24" spans="1:12" x14ac:dyDescent="0.25">
      <c r="A24" s="676">
        <v>3100</v>
      </c>
      <c r="B24" s="677" t="s">
        <v>21</v>
      </c>
      <c r="C24" s="678"/>
      <c r="D24" s="679">
        <f t="shared" si="2"/>
        <v>5.4972E-2</v>
      </c>
      <c r="E24" s="680"/>
      <c r="F24" s="681">
        <f t="shared" si="0"/>
        <v>8.6442544158234241E-2</v>
      </c>
      <c r="G24" s="682"/>
      <c r="H24" s="681">
        <f t="shared" si="1"/>
        <v>6.5196637546458241E-2</v>
      </c>
      <c r="I24" s="685">
        <f t="shared" si="3"/>
        <v>6.0715045378380961E-2</v>
      </c>
      <c r="J24" s="684">
        <f>ROUND($J$6*I24,-3)</f>
        <v>12143000</v>
      </c>
      <c r="L24" s="675"/>
    </row>
    <row r="25" spans="1:12" x14ac:dyDescent="0.25">
      <c r="A25" s="676">
        <v>4100</v>
      </c>
      <c r="B25" s="677" t="s">
        <v>22</v>
      </c>
      <c r="C25" s="678"/>
      <c r="D25" s="679">
        <f t="shared" si="2"/>
        <v>5.3567999999999998E-2</v>
      </c>
      <c r="E25" s="680"/>
      <c r="F25" s="681">
        <f t="shared" si="0"/>
        <v>4.6743227414209519E-2</v>
      </c>
      <c r="G25" s="682"/>
      <c r="H25" s="681">
        <f t="shared" si="1"/>
        <v>6.3821876324921728E-2</v>
      </c>
      <c r="I25" s="685">
        <f t="shared" si="3"/>
        <v>5.3569671744623598E-2</v>
      </c>
      <c r="J25" s="684">
        <f t="shared" si="4"/>
        <v>10714000</v>
      </c>
      <c r="L25" s="675"/>
    </row>
    <row r="26" spans="1:12" x14ac:dyDescent="0.25">
      <c r="A26" s="676">
        <v>4300</v>
      </c>
      <c r="B26" s="677" t="s">
        <v>23</v>
      </c>
      <c r="C26" s="678"/>
      <c r="D26" s="679">
        <f t="shared" si="2"/>
        <v>0.03</v>
      </c>
      <c r="E26" s="680"/>
      <c r="F26" s="681">
        <f t="shared" si="0"/>
        <v>2.6940107043812722E-2</v>
      </c>
      <c r="G26" s="682"/>
      <c r="H26" s="681">
        <f t="shared" si="1"/>
        <v>3.9303203861145469E-2</v>
      </c>
      <c r="I26" s="685">
        <f t="shared" si="3"/>
        <v>3.0471336442686455E-2</v>
      </c>
      <c r="J26" s="684">
        <f t="shared" si="4"/>
        <v>6094000</v>
      </c>
      <c r="L26" s="675"/>
    </row>
    <row r="27" spans="1:12" x14ac:dyDescent="0.25">
      <c r="A27" s="686">
        <v>5100</v>
      </c>
      <c r="B27" s="687" t="s">
        <v>24</v>
      </c>
      <c r="C27" s="688"/>
      <c r="D27" s="689">
        <f t="shared" si="2"/>
        <v>1.3264E-2</v>
      </c>
      <c r="E27" s="690"/>
      <c r="F27" s="691">
        <f t="shared" si="0"/>
        <v>9.118573868819313E-3</v>
      </c>
      <c r="G27" s="692"/>
      <c r="H27" s="691">
        <f t="shared" si="1"/>
        <v>6.0670377155100461E-3</v>
      </c>
      <c r="I27" s="693">
        <f t="shared" si="3"/>
        <v>1.1922489851873903E-2</v>
      </c>
      <c r="J27" s="694">
        <f t="shared" si="4"/>
        <v>2384000</v>
      </c>
      <c r="L27" s="675"/>
    </row>
    <row r="28" spans="1:12" x14ac:dyDescent="0.25">
      <c r="A28" s="676">
        <v>5200</v>
      </c>
      <c r="B28" s="677" t="s">
        <v>25</v>
      </c>
      <c r="C28" s="678"/>
      <c r="D28" s="679">
        <f t="shared" si="2"/>
        <v>1.792E-3</v>
      </c>
      <c r="E28" s="680"/>
      <c r="F28" s="681">
        <f t="shared" si="0"/>
        <v>1.5547700823381827E-3</v>
      </c>
      <c r="G28" s="682"/>
      <c r="H28" s="681">
        <f t="shared" si="1"/>
        <v>2.4493214059913308E-3</v>
      </c>
      <c r="I28" s="685">
        <f t="shared" si="3"/>
        <v>1.8221476529498603E-3</v>
      </c>
      <c r="J28" s="684">
        <f t="shared" si="4"/>
        <v>364000</v>
      </c>
      <c r="L28" s="675"/>
    </row>
    <row r="29" spans="1:12" x14ac:dyDescent="0.25">
      <c r="A29" s="676">
        <v>5300</v>
      </c>
      <c r="B29" s="677" t="s">
        <v>26</v>
      </c>
      <c r="C29" s="678"/>
      <c r="D29" s="679">
        <f t="shared" si="2"/>
        <v>4.9199999999999999E-3</v>
      </c>
      <c r="E29" s="680"/>
      <c r="F29" s="681">
        <f t="shared" si="0"/>
        <v>5.4090300756632851E-3</v>
      </c>
      <c r="G29" s="682"/>
      <c r="H29" s="681">
        <f t="shared" si="1"/>
        <v>4.3285497799471565E-3</v>
      </c>
      <c r="I29" s="685">
        <f t="shared" si="3"/>
        <v>4.9342094893442077E-3</v>
      </c>
      <c r="J29" s="684">
        <f>ROUND($J$6*I29,-3)</f>
        <v>987000</v>
      </c>
      <c r="L29" s="675"/>
    </row>
    <row r="30" spans="1:12" x14ac:dyDescent="0.25">
      <c r="A30" s="676">
        <v>5400</v>
      </c>
      <c r="B30" s="677" t="s">
        <v>27</v>
      </c>
      <c r="C30" s="678"/>
      <c r="D30" s="679">
        <f t="shared" si="2"/>
        <v>8.0040000000000007E-3</v>
      </c>
      <c r="E30" s="680"/>
      <c r="F30" s="681">
        <f t="shared" si="0"/>
        <v>4.5337810126867594E-3</v>
      </c>
      <c r="G30" s="682"/>
      <c r="H30" s="681">
        <f t="shared" si="1"/>
        <v>2.3178160480102879E-3</v>
      </c>
      <c r="I30" s="685">
        <f t="shared" si="3"/>
        <v>6.9148487567040435E-3</v>
      </c>
      <c r="J30" s="684">
        <f t="shared" si="4"/>
        <v>1383000</v>
      </c>
      <c r="L30" s="675"/>
    </row>
    <row r="31" spans="1:12" x14ac:dyDescent="0.25">
      <c r="A31" s="676">
        <v>5500</v>
      </c>
      <c r="B31" s="677" t="s">
        <v>28</v>
      </c>
      <c r="C31" s="678"/>
      <c r="D31" s="679">
        <f t="shared" si="2"/>
        <v>4.2719999999999998E-3</v>
      </c>
      <c r="E31" s="680"/>
      <c r="F31" s="681">
        <f t="shared" si="0"/>
        <v>2.0028227218972456E-3</v>
      </c>
      <c r="G31" s="682"/>
      <c r="H31" s="681">
        <f t="shared" si="1"/>
        <v>2.2502433842601626E-3</v>
      </c>
      <c r="I31" s="685">
        <f t="shared" si="3"/>
        <v>3.729447746710603E-3</v>
      </c>
      <c r="J31" s="684">
        <f t="shared" si="4"/>
        <v>746000</v>
      </c>
      <c r="L31" s="675"/>
    </row>
    <row r="32" spans="1:12" ht="15" customHeight="1" thickBot="1" x14ac:dyDescent="0.3">
      <c r="A32" s="695">
        <v>5600</v>
      </c>
      <c r="B32" s="696" t="s">
        <v>29</v>
      </c>
      <c r="C32" s="697"/>
      <c r="D32" s="698">
        <f t="shared" si="2"/>
        <v>4.908E-3</v>
      </c>
      <c r="E32" s="699"/>
      <c r="F32" s="700">
        <f t="shared" si="0"/>
        <v>4.5788909759487805E-3</v>
      </c>
      <c r="G32" s="701"/>
      <c r="H32" s="700">
        <f t="shared" si="1"/>
        <v>9.5935963175882866E-3</v>
      </c>
      <c r="I32" s="702">
        <f t="shared" si="3"/>
        <v>5.3271932781511454E-3</v>
      </c>
      <c r="J32" s="703">
        <f t="shared" si="4"/>
        <v>1065000</v>
      </c>
      <c r="L32" s="675"/>
    </row>
    <row r="33" spans="1:11" ht="15.75" thickBot="1" x14ac:dyDescent="0.3">
      <c r="A33" s="1043" t="s">
        <v>198</v>
      </c>
      <c r="B33" s="1118"/>
      <c r="C33" s="704"/>
      <c r="D33" s="705">
        <f>SUM(D7:D32)</f>
        <v>1.0000000000000002</v>
      </c>
      <c r="E33" s="706"/>
      <c r="F33" s="705">
        <f>SUM(F7:F32)</f>
        <v>1.0000000000000002</v>
      </c>
      <c r="G33" s="707"/>
      <c r="H33" s="705">
        <f>SUM(H7:H32)</f>
        <v>1</v>
      </c>
      <c r="I33" s="708">
        <f>SUM(I7:I32)</f>
        <v>0.99999999999999989</v>
      </c>
      <c r="J33" s="709">
        <f>SUM(J7:J32)</f>
        <v>200000000</v>
      </c>
    </row>
    <row r="34" spans="1:11" ht="15.75" thickBot="1" x14ac:dyDescent="0.3"/>
    <row r="35" spans="1:11" ht="15.75" thickBot="1" x14ac:dyDescent="0.3">
      <c r="A35" s="1115" t="s">
        <v>195</v>
      </c>
      <c r="B35" s="1116"/>
      <c r="C35" s="1043" t="s">
        <v>202</v>
      </c>
      <c r="D35" s="1118"/>
      <c r="E35" s="1043" t="s">
        <v>196</v>
      </c>
      <c r="F35" s="1044"/>
      <c r="G35" s="1119" t="s">
        <v>197</v>
      </c>
      <c r="H35" s="1044"/>
    </row>
    <row r="36" spans="1:11" x14ac:dyDescent="0.25">
      <c r="A36" s="666">
        <v>1100</v>
      </c>
      <c r="B36" s="710" t="s">
        <v>4</v>
      </c>
      <c r="C36" s="711">
        <v>47462000</v>
      </c>
      <c r="D36" s="712">
        <f>C36/$C$62</f>
        <v>0.18984799999999999</v>
      </c>
      <c r="E36" s="711">
        <v>272886</v>
      </c>
      <c r="F36" s="713">
        <f>E36/E$62</f>
        <v>0.20973774135680917</v>
      </c>
      <c r="G36" s="714">
        <v>529809</v>
      </c>
      <c r="H36" s="713">
        <f>G36/G$62</f>
        <v>0.25064552663524742</v>
      </c>
      <c r="K36" s="12"/>
    </row>
    <row r="37" spans="1:11" x14ac:dyDescent="0.25">
      <c r="A37" s="676">
        <v>1200</v>
      </c>
      <c r="B37" s="715" t="s">
        <v>5</v>
      </c>
      <c r="C37" s="716">
        <v>4559000</v>
      </c>
      <c r="D37" s="717">
        <f t="shared" ref="D37:D61" si="5">C37/$C$62</f>
        <v>1.8235999999999999E-2</v>
      </c>
      <c r="E37" s="716">
        <v>32414</v>
      </c>
      <c r="F37" s="718">
        <f t="shared" ref="F37:F61" si="6">E37/E$62</f>
        <v>2.491311078010456E-2</v>
      </c>
      <c r="G37" s="719">
        <v>24650</v>
      </c>
      <c r="H37" s="718">
        <f t="shared" ref="H37:H61" si="7">G37/G$62</f>
        <v>1.16615841398671E-2</v>
      </c>
    </row>
    <row r="38" spans="1:11" x14ac:dyDescent="0.25">
      <c r="A38" s="676">
        <v>1300</v>
      </c>
      <c r="B38" s="715" t="s">
        <v>6</v>
      </c>
      <c r="C38" s="716">
        <v>7682000</v>
      </c>
      <c r="D38" s="717">
        <f t="shared" si="5"/>
        <v>3.0727999999999998E-2</v>
      </c>
      <c r="E38" s="716">
        <v>25452</v>
      </c>
      <c r="F38" s="718">
        <f t="shared" si="6"/>
        <v>1.9562179785747556E-2</v>
      </c>
      <c r="G38" s="719">
        <v>19156</v>
      </c>
      <c r="H38" s="718">
        <f t="shared" si="7"/>
        <v>9.0624464820808995E-3</v>
      </c>
    </row>
    <row r="39" spans="1:11" x14ac:dyDescent="0.25">
      <c r="A39" s="676">
        <v>1400</v>
      </c>
      <c r="B39" s="715" t="s">
        <v>7</v>
      </c>
      <c r="C39" s="716">
        <v>38194000</v>
      </c>
      <c r="D39" s="717">
        <f t="shared" si="5"/>
        <v>0.152776</v>
      </c>
      <c r="E39" s="716">
        <v>209522</v>
      </c>
      <c r="F39" s="718">
        <f t="shared" si="6"/>
        <v>0.16103673711572369</v>
      </c>
      <c r="G39" s="719">
        <v>264860</v>
      </c>
      <c r="H39" s="718">
        <f t="shared" si="7"/>
        <v>0.12530171096491685</v>
      </c>
    </row>
    <row r="40" spans="1:11" x14ac:dyDescent="0.25">
      <c r="A40" s="676">
        <v>1500</v>
      </c>
      <c r="B40" s="715" t="s">
        <v>8</v>
      </c>
      <c r="C40" s="716">
        <v>18509000</v>
      </c>
      <c r="D40" s="717">
        <f t="shared" si="5"/>
        <v>7.4036000000000005E-2</v>
      </c>
      <c r="E40" s="716">
        <v>115722</v>
      </c>
      <c r="F40" s="718">
        <f t="shared" si="6"/>
        <v>8.8942895221054474E-2</v>
      </c>
      <c r="G40" s="719">
        <v>130264</v>
      </c>
      <c r="H40" s="718">
        <f t="shared" si="7"/>
        <v>6.1626149955198703E-2</v>
      </c>
    </row>
    <row r="41" spans="1:11" x14ac:dyDescent="0.25">
      <c r="A41" s="676">
        <v>1600</v>
      </c>
      <c r="B41" s="715" t="s">
        <v>9</v>
      </c>
      <c r="C41" s="716">
        <v>2072000</v>
      </c>
      <c r="D41" s="717">
        <f t="shared" si="5"/>
        <v>8.2880000000000002E-3</v>
      </c>
      <c r="E41" s="716">
        <v>1530</v>
      </c>
      <c r="F41" s="718">
        <f t="shared" si="6"/>
        <v>1.1759443294119818E-3</v>
      </c>
      <c r="G41" s="719">
        <v>28472</v>
      </c>
      <c r="H41" s="718">
        <f t="shared" si="7"/>
        <v>1.3469721039768604E-2</v>
      </c>
    </row>
    <row r="42" spans="1:11" x14ac:dyDescent="0.25">
      <c r="A42" s="676">
        <v>1700</v>
      </c>
      <c r="B42" s="715" t="s">
        <v>10</v>
      </c>
      <c r="C42" s="716">
        <v>9249000</v>
      </c>
      <c r="D42" s="717">
        <f t="shared" si="5"/>
        <v>3.6996000000000001E-2</v>
      </c>
      <c r="E42" s="716">
        <v>26286</v>
      </c>
      <c r="F42" s="718">
        <f t="shared" si="6"/>
        <v>2.020318473393683E-2</v>
      </c>
      <c r="G42" s="719">
        <v>41528</v>
      </c>
      <c r="H42" s="718">
        <f t="shared" si="7"/>
        <v>1.9646339397987867E-2</v>
      </c>
    </row>
    <row r="43" spans="1:11" x14ac:dyDescent="0.25">
      <c r="A43" s="676">
        <v>1800</v>
      </c>
      <c r="B43" s="715" t="s">
        <v>11</v>
      </c>
      <c r="C43" s="716">
        <v>5765000</v>
      </c>
      <c r="D43" s="717">
        <f t="shared" si="5"/>
        <v>2.3060000000000001E-2</v>
      </c>
      <c r="E43" s="716">
        <v>38000</v>
      </c>
      <c r="F43" s="718">
        <f t="shared" si="6"/>
        <v>2.9206460469055756E-2</v>
      </c>
      <c r="G43" s="719">
        <v>56500</v>
      </c>
      <c r="H43" s="718">
        <f t="shared" si="7"/>
        <v>2.6729391639046297E-2</v>
      </c>
    </row>
    <row r="44" spans="1:11" x14ac:dyDescent="0.25">
      <c r="A44" s="676">
        <v>1900</v>
      </c>
      <c r="B44" s="715" t="s">
        <v>12</v>
      </c>
      <c r="C44" s="716">
        <v>2643000</v>
      </c>
      <c r="D44" s="717">
        <f t="shared" si="5"/>
        <v>1.0572E-2</v>
      </c>
      <c r="E44" s="716">
        <v>9665</v>
      </c>
      <c r="F44" s="718">
        <f t="shared" si="6"/>
        <v>7.4284326429848386E-3</v>
      </c>
      <c r="G44" s="719">
        <v>6523</v>
      </c>
      <c r="H44" s="718">
        <f t="shared" si="7"/>
        <v>3.0859437462212209E-3</v>
      </c>
    </row>
    <row r="45" spans="1:11" x14ac:dyDescent="0.25">
      <c r="A45" s="676">
        <v>2100</v>
      </c>
      <c r="B45" s="715" t="s">
        <v>13</v>
      </c>
      <c r="C45" s="716">
        <v>12773000</v>
      </c>
      <c r="D45" s="717">
        <f t="shared" si="5"/>
        <v>5.1091999999999999E-2</v>
      </c>
      <c r="E45" s="716">
        <v>81549</v>
      </c>
      <c r="F45" s="718">
        <f t="shared" si="6"/>
        <v>6.2677832757658619E-2</v>
      </c>
      <c r="G45" s="719">
        <v>209264</v>
      </c>
      <c r="H45" s="718">
        <f t="shared" si="7"/>
        <v>9.8999989592095286E-2</v>
      </c>
    </row>
    <row r="46" spans="1:11" x14ac:dyDescent="0.25">
      <c r="A46" s="676">
        <v>2200</v>
      </c>
      <c r="B46" s="715" t="s">
        <v>14</v>
      </c>
      <c r="C46" s="716">
        <v>3477000</v>
      </c>
      <c r="D46" s="717">
        <f t="shared" si="5"/>
        <v>1.3908E-2</v>
      </c>
      <c r="E46" s="716">
        <v>16577</v>
      </c>
      <c r="F46" s="718">
        <f t="shared" si="6"/>
        <v>1.2740934084093086E-2</v>
      </c>
      <c r="G46" s="719">
        <v>39567</v>
      </c>
      <c r="H46" s="718">
        <f t="shared" si="7"/>
        <v>1.8718616619153004E-2</v>
      </c>
    </row>
    <row r="47" spans="1:11" x14ac:dyDescent="0.25">
      <c r="A47" s="676">
        <v>2300</v>
      </c>
      <c r="B47" s="715" t="s">
        <v>15</v>
      </c>
      <c r="C47" s="716">
        <v>8475000</v>
      </c>
      <c r="D47" s="717">
        <f t="shared" si="5"/>
        <v>3.39E-2</v>
      </c>
      <c r="E47" s="716">
        <v>40729</v>
      </c>
      <c r="F47" s="718">
        <f t="shared" si="6"/>
        <v>3.1303945485372943E-2</v>
      </c>
      <c r="G47" s="719">
        <v>48356</v>
      </c>
      <c r="H47" s="718">
        <f t="shared" si="7"/>
        <v>2.2876574550402172E-2</v>
      </c>
    </row>
    <row r="48" spans="1:11" x14ac:dyDescent="0.25">
      <c r="A48" s="676">
        <v>2400</v>
      </c>
      <c r="B48" s="715" t="s">
        <v>16</v>
      </c>
      <c r="C48" s="716">
        <v>5956000</v>
      </c>
      <c r="D48" s="717">
        <f t="shared" si="5"/>
        <v>2.3824000000000001E-2</v>
      </c>
      <c r="E48" s="716">
        <v>21819</v>
      </c>
      <c r="F48" s="718">
        <f t="shared" si="6"/>
        <v>1.6769888446692829E-2</v>
      </c>
      <c r="G48" s="719">
        <v>40191</v>
      </c>
      <c r="H48" s="718">
        <f t="shared" si="7"/>
        <v>1.9013822643626721E-2</v>
      </c>
    </row>
    <row r="49" spans="1:8" x14ac:dyDescent="0.25">
      <c r="A49" s="676">
        <v>2500</v>
      </c>
      <c r="B49" s="715" t="s">
        <v>17</v>
      </c>
      <c r="C49" s="716">
        <v>5636000</v>
      </c>
      <c r="D49" s="717">
        <f t="shared" si="5"/>
        <v>2.2544000000000002E-2</v>
      </c>
      <c r="E49" s="716">
        <v>22462</v>
      </c>
      <c r="F49" s="718">
        <f t="shared" si="6"/>
        <v>1.7264092501471852E-2</v>
      </c>
      <c r="G49" s="719">
        <v>36550</v>
      </c>
      <c r="H49" s="718">
        <f t="shared" si="7"/>
        <v>1.7291314414285702E-2</v>
      </c>
    </row>
    <row r="50" spans="1:8" x14ac:dyDescent="0.25">
      <c r="A50" s="676">
        <v>2600</v>
      </c>
      <c r="B50" s="715" t="s">
        <v>18</v>
      </c>
      <c r="C50" s="716">
        <v>20516000</v>
      </c>
      <c r="D50" s="717">
        <f t="shared" si="5"/>
        <v>8.2063999999999998E-2</v>
      </c>
      <c r="E50" s="716">
        <v>83704</v>
      </c>
      <c r="F50" s="718">
        <f t="shared" si="6"/>
        <v>6.4334146502680073E-2</v>
      </c>
      <c r="G50" s="719">
        <v>105739</v>
      </c>
      <c r="H50" s="718">
        <f t="shared" si="7"/>
        <v>5.0023701637541877E-2</v>
      </c>
    </row>
    <row r="51" spans="1:8" x14ac:dyDescent="0.25">
      <c r="A51" s="676">
        <v>2700</v>
      </c>
      <c r="B51" s="715" t="s">
        <v>19</v>
      </c>
      <c r="C51" s="716">
        <v>7963000</v>
      </c>
      <c r="D51" s="717">
        <f t="shared" si="5"/>
        <v>3.1851999999999998E-2</v>
      </c>
      <c r="E51" s="716">
        <v>29283</v>
      </c>
      <c r="F51" s="718">
        <f t="shared" si="6"/>
        <v>2.2506652155667359E-2</v>
      </c>
      <c r="G51" s="719">
        <v>86228</v>
      </c>
      <c r="H51" s="718">
        <f t="shared" si="7"/>
        <v>4.079330942038379E-2</v>
      </c>
    </row>
    <row r="52" spans="1:8" x14ac:dyDescent="0.25">
      <c r="A52" s="676">
        <v>2800</v>
      </c>
      <c r="B52" s="715" t="s">
        <v>20</v>
      </c>
      <c r="C52" s="716">
        <v>5144000</v>
      </c>
      <c r="D52" s="717">
        <f t="shared" si="5"/>
        <v>2.0576000000000001E-2</v>
      </c>
      <c r="E52" s="716">
        <v>31772</v>
      </c>
      <c r="F52" s="718">
        <f t="shared" si="6"/>
        <v>2.4419675316390513E-2</v>
      </c>
      <c r="G52" s="719">
        <v>41398</v>
      </c>
      <c r="H52" s="718">
        <f t="shared" si="7"/>
        <v>1.9584838142889176E-2</v>
      </c>
    </row>
    <row r="53" spans="1:8" x14ac:dyDescent="0.25">
      <c r="A53" s="676">
        <v>3100</v>
      </c>
      <c r="B53" s="715" t="s">
        <v>21</v>
      </c>
      <c r="C53" s="716">
        <v>13743000</v>
      </c>
      <c r="D53" s="717">
        <f t="shared" si="5"/>
        <v>5.4972E-2</v>
      </c>
      <c r="E53" s="716">
        <v>112418</v>
      </c>
      <c r="F53" s="718">
        <f t="shared" si="6"/>
        <v>8.6403470342376582E-2</v>
      </c>
      <c r="G53" s="719">
        <v>134557</v>
      </c>
      <c r="H53" s="718">
        <f t="shared" si="7"/>
        <v>6.3657110633188532E-2</v>
      </c>
    </row>
    <row r="54" spans="1:8" x14ac:dyDescent="0.25">
      <c r="A54" s="676">
        <v>4100</v>
      </c>
      <c r="B54" s="715" t="s">
        <v>22</v>
      </c>
      <c r="C54" s="716">
        <v>13392000</v>
      </c>
      <c r="D54" s="717">
        <f t="shared" si="5"/>
        <v>5.3567999999999998E-2</v>
      </c>
      <c r="E54" s="716">
        <v>59734</v>
      </c>
      <c r="F54" s="718">
        <f t="shared" si="6"/>
        <v>4.59110186752257E-2</v>
      </c>
      <c r="G54" s="719">
        <v>131615</v>
      </c>
      <c r="H54" s="718">
        <f t="shared" si="7"/>
        <v>6.2265289921647399E-2</v>
      </c>
    </row>
    <row r="55" spans="1:8" x14ac:dyDescent="0.25">
      <c r="A55" s="676">
        <v>4300</v>
      </c>
      <c r="B55" s="715" t="s">
        <v>23</v>
      </c>
      <c r="C55" s="716">
        <v>7500000</v>
      </c>
      <c r="D55" s="717">
        <f t="shared" si="5"/>
        <v>0.03</v>
      </c>
      <c r="E55" s="716">
        <v>35802</v>
      </c>
      <c r="F55" s="718">
        <f t="shared" si="6"/>
        <v>2.7517097308240372E-2</v>
      </c>
      <c r="G55" s="719">
        <v>82632</v>
      </c>
      <c r="H55" s="718">
        <f t="shared" si="7"/>
        <v>3.909209008703847E-2</v>
      </c>
    </row>
    <row r="56" spans="1:8" x14ac:dyDescent="0.25">
      <c r="A56" s="676">
        <v>5100</v>
      </c>
      <c r="B56" s="715" t="s">
        <v>24</v>
      </c>
      <c r="C56" s="716">
        <v>3316000</v>
      </c>
      <c r="D56" s="717">
        <f t="shared" si="5"/>
        <v>1.3264E-2</v>
      </c>
      <c r="E56" s="716">
        <v>11789</v>
      </c>
      <c r="F56" s="718">
        <f t="shared" si="6"/>
        <v>9.0609200649920604E-3</v>
      </c>
      <c r="G56" s="719">
        <v>13304</v>
      </c>
      <c r="H56" s="718">
        <f t="shared" si="7"/>
        <v>6.2939438294844583E-3</v>
      </c>
    </row>
    <row r="57" spans="1:8" x14ac:dyDescent="0.25">
      <c r="A57" s="676">
        <v>5200</v>
      </c>
      <c r="B57" s="715" t="s">
        <v>25</v>
      </c>
      <c r="C57" s="716">
        <v>448000</v>
      </c>
      <c r="D57" s="717">
        <f t="shared" si="5"/>
        <v>1.792E-3</v>
      </c>
      <c r="E57" s="716">
        <v>2070</v>
      </c>
      <c r="F57" s="718">
        <f t="shared" si="6"/>
        <v>1.5909835044985636E-3</v>
      </c>
      <c r="G57" s="719">
        <v>4118</v>
      </c>
      <c r="H57" s="718">
        <f t="shared" si="7"/>
        <v>1.948170526895445E-3</v>
      </c>
    </row>
    <row r="58" spans="1:8" x14ac:dyDescent="0.25">
      <c r="A58" s="676">
        <v>5300</v>
      </c>
      <c r="B58" s="715" t="s">
        <v>26</v>
      </c>
      <c r="C58" s="716">
        <v>1230000</v>
      </c>
      <c r="D58" s="717">
        <f t="shared" si="5"/>
        <v>4.9199999999999999E-3</v>
      </c>
      <c r="E58" s="716">
        <v>7051</v>
      </c>
      <c r="F58" s="718">
        <f t="shared" si="6"/>
        <v>5.4193355991397933E-3</v>
      </c>
      <c r="G58" s="719">
        <v>8075</v>
      </c>
      <c r="H58" s="718">
        <f t="shared" si="7"/>
        <v>3.8201741147840503E-3</v>
      </c>
    </row>
    <row r="59" spans="1:8" x14ac:dyDescent="0.25">
      <c r="A59" s="676">
        <v>5400</v>
      </c>
      <c r="B59" s="715" t="s">
        <v>27</v>
      </c>
      <c r="C59" s="716">
        <v>2001000</v>
      </c>
      <c r="D59" s="717">
        <f t="shared" si="5"/>
        <v>8.0040000000000007E-3</v>
      </c>
      <c r="E59" s="716">
        <v>5638</v>
      </c>
      <c r="F59" s="718">
        <f t="shared" si="6"/>
        <v>4.3333164243299039E-3</v>
      </c>
      <c r="G59" s="719">
        <v>4060</v>
      </c>
      <c r="H59" s="718">
        <f t="shared" si="7"/>
        <v>1.9207315053898753E-3</v>
      </c>
    </row>
    <row r="60" spans="1:8" x14ac:dyDescent="0.25">
      <c r="A60" s="676">
        <v>5500</v>
      </c>
      <c r="B60" s="715" t="s">
        <v>28</v>
      </c>
      <c r="C60" s="716">
        <v>1068000</v>
      </c>
      <c r="D60" s="717">
        <f t="shared" si="5"/>
        <v>4.2719999999999998E-3</v>
      </c>
      <c r="E60" s="716">
        <v>2025</v>
      </c>
      <c r="F60" s="718">
        <f t="shared" si="6"/>
        <v>1.5563969065746817E-3</v>
      </c>
      <c r="G60" s="719">
        <v>4994</v>
      </c>
      <c r="H60" s="718">
        <f t="shared" si="7"/>
        <v>2.3625943689450832E-3</v>
      </c>
    </row>
    <row r="61" spans="1:8" ht="15" customHeight="1" thickBot="1" x14ac:dyDescent="0.3">
      <c r="A61" s="695">
        <v>5600</v>
      </c>
      <c r="B61" s="720" t="s">
        <v>29</v>
      </c>
      <c r="C61" s="721">
        <v>1227000</v>
      </c>
      <c r="D61" s="722">
        <f t="shared" si="5"/>
        <v>4.908E-3</v>
      </c>
      <c r="E61" s="721">
        <v>5183</v>
      </c>
      <c r="F61" s="723">
        <f t="shared" si="6"/>
        <v>3.9836074897662103E-3</v>
      </c>
      <c r="G61" s="724">
        <v>21368</v>
      </c>
      <c r="H61" s="723">
        <f t="shared" si="7"/>
        <v>1.0108913991914005E-2</v>
      </c>
    </row>
    <row r="62" spans="1:8" ht="15.75" thickBot="1" x14ac:dyDescent="0.3">
      <c r="A62" s="725">
        <v>2019</v>
      </c>
      <c r="B62" s="726" t="s">
        <v>198</v>
      </c>
      <c r="C62" s="727">
        <f t="shared" ref="C62:H62" si="8">SUM(C36:C61)</f>
        <v>250000000</v>
      </c>
      <c r="D62" s="728">
        <f t="shared" si="8"/>
        <v>1.0000000000000002</v>
      </c>
      <c r="E62" s="727">
        <f t="shared" si="8"/>
        <v>1301082</v>
      </c>
      <c r="F62" s="729">
        <f t="shared" si="8"/>
        <v>1</v>
      </c>
      <c r="G62" s="730">
        <f t="shared" si="8"/>
        <v>2113778</v>
      </c>
      <c r="H62" s="731">
        <f t="shared" si="8"/>
        <v>1</v>
      </c>
    </row>
    <row r="63" spans="1:8" ht="15.75" thickBot="1" x14ac:dyDescent="0.3"/>
    <row r="64" spans="1:8" ht="15.75" thickBot="1" x14ac:dyDescent="0.3">
      <c r="A64" s="1115" t="s">
        <v>195</v>
      </c>
      <c r="B64" s="1116"/>
      <c r="C64" s="1117"/>
      <c r="D64" s="1117"/>
      <c r="E64" s="1109" t="s">
        <v>196</v>
      </c>
      <c r="F64" s="1111"/>
      <c r="G64" s="1043" t="s">
        <v>197</v>
      </c>
      <c r="H64" s="1044"/>
    </row>
    <row r="65" spans="1:8" x14ac:dyDescent="0.25">
      <c r="A65" s="666">
        <v>1100</v>
      </c>
      <c r="B65" s="710" t="s">
        <v>4</v>
      </c>
      <c r="E65" s="711">
        <v>273321</v>
      </c>
      <c r="F65" s="713">
        <f t="shared" ref="F65:F90" si="9">E65/E$91</f>
        <v>0.20812342377465612</v>
      </c>
      <c r="G65" s="714">
        <v>493861</v>
      </c>
      <c r="H65" s="713">
        <f>G65/G$91</f>
        <v>0.23117153636593427</v>
      </c>
    </row>
    <row r="66" spans="1:8" x14ac:dyDescent="0.25">
      <c r="A66" s="676">
        <v>1200</v>
      </c>
      <c r="B66" s="715" t="s">
        <v>5</v>
      </c>
      <c r="E66" s="716">
        <v>23508</v>
      </c>
      <c r="F66" s="718">
        <f t="shared" si="9"/>
        <v>1.7900437383496389E-2</v>
      </c>
      <c r="G66" s="719">
        <v>28578</v>
      </c>
      <c r="H66" s="718">
        <f t="shared" ref="H66:H90" si="10">G66/G$91</f>
        <v>1.3377084171995094E-2</v>
      </c>
    </row>
    <row r="67" spans="1:8" x14ac:dyDescent="0.25">
      <c r="A67" s="676">
        <v>1300</v>
      </c>
      <c r="B67" s="715" t="s">
        <v>6</v>
      </c>
      <c r="E67" s="716">
        <v>24330</v>
      </c>
      <c r="F67" s="718">
        <f t="shared" si="9"/>
        <v>1.8526358751934112E-2</v>
      </c>
      <c r="G67" s="719">
        <v>25970</v>
      </c>
      <c r="H67" s="718">
        <f t="shared" si="10"/>
        <v>1.2156304708052089E-2</v>
      </c>
    </row>
    <row r="68" spans="1:8" x14ac:dyDescent="0.25">
      <c r="A68" s="676">
        <v>1400</v>
      </c>
      <c r="B68" s="715" t="s">
        <v>7</v>
      </c>
      <c r="E68" s="716">
        <v>214090</v>
      </c>
      <c r="F68" s="718">
        <f t="shared" si="9"/>
        <v>0.16302129655575726</v>
      </c>
      <c r="G68" s="719">
        <v>321022</v>
      </c>
      <c r="H68" s="718">
        <f t="shared" si="10"/>
        <v>0.15026727955288016</v>
      </c>
    </row>
    <row r="69" spans="1:8" x14ac:dyDescent="0.25">
      <c r="A69" s="676">
        <v>1500</v>
      </c>
      <c r="B69" s="715" t="s">
        <v>8</v>
      </c>
      <c r="E69" s="716">
        <v>115727</v>
      </c>
      <c r="F69" s="718">
        <f t="shared" si="9"/>
        <v>8.8121657183932556E-2</v>
      </c>
      <c r="G69" s="719">
        <v>108563</v>
      </c>
      <c r="H69" s="718">
        <f t="shared" si="10"/>
        <v>5.081728563805387E-2</v>
      </c>
    </row>
    <row r="70" spans="1:8" x14ac:dyDescent="0.25">
      <c r="A70" s="676">
        <v>1600</v>
      </c>
      <c r="B70" s="715" t="s">
        <v>9</v>
      </c>
      <c r="E70" s="716">
        <v>2785</v>
      </c>
      <c r="F70" s="718">
        <f t="shared" si="9"/>
        <v>2.1206703298042129E-3</v>
      </c>
      <c r="G70" s="719">
        <v>21609</v>
      </c>
      <c r="H70" s="718">
        <f t="shared" si="10"/>
        <v>1.0114962974058436E-2</v>
      </c>
    </row>
    <row r="71" spans="1:8" x14ac:dyDescent="0.25">
      <c r="A71" s="676">
        <v>1700</v>
      </c>
      <c r="B71" s="715" t="s">
        <v>10</v>
      </c>
      <c r="E71" s="716">
        <v>29353</v>
      </c>
      <c r="F71" s="718">
        <f t="shared" si="9"/>
        <v>2.2351179960769501E-2</v>
      </c>
      <c r="G71" s="719">
        <v>39198</v>
      </c>
      <c r="H71" s="718">
        <f t="shared" si="10"/>
        <v>1.8348203001394909E-2</v>
      </c>
    </row>
    <row r="72" spans="1:8" x14ac:dyDescent="0.25">
      <c r="A72" s="676">
        <v>1800</v>
      </c>
      <c r="B72" s="715" t="s">
        <v>11</v>
      </c>
      <c r="E72" s="716">
        <v>35053</v>
      </c>
      <c r="F72" s="718">
        <f t="shared" si="9"/>
        <v>2.6691510617819419E-2</v>
      </c>
      <c r="G72" s="719">
        <v>51051</v>
      </c>
      <c r="H72" s="718">
        <f t="shared" si="10"/>
        <v>2.3896477152513178E-2</v>
      </c>
    </row>
    <row r="73" spans="1:8" x14ac:dyDescent="0.25">
      <c r="A73" s="676">
        <v>1900</v>
      </c>
      <c r="B73" s="715" t="s">
        <v>12</v>
      </c>
      <c r="E73" s="716">
        <v>11664</v>
      </c>
      <c r="F73" s="718">
        <f t="shared" si="9"/>
        <v>8.8816871550579327E-3</v>
      </c>
      <c r="G73" s="719">
        <v>6149</v>
      </c>
      <c r="H73" s="718">
        <f t="shared" si="10"/>
        <v>2.8782871640281979E-3</v>
      </c>
    </row>
    <row r="74" spans="1:8" x14ac:dyDescent="0.25">
      <c r="A74" s="676">
        <v>2100</v>
      </c>
      <c r="B74" s="715" t="s">
        <v>13</v>
      </c>
      <c r="E74" s="716">
        <v>83499</v>
      </c>
      <c r="F74" s="718">
        <f t="shared" si="9"/>
        <v>6.3581275356668576E-2</v>
      </c>
      <c r="G74" s="719">
        <v>218645</v>
      </c>
      <c r="H74" s="718">
        <f t="shared" si="10"/>
        <v>0.10234560041940889</v>
      </c>
    </row>
    <row r="75" spans="1:8" x14ac:dyDescent="0.25">
      <c r="A75" s="676">
        <v>2200</v>
      </c>
      <c r="B75" s="715" t="s">
        <v>14</v>
      </c>
      <c r="E75" s="716">
        <v>16819</v>
      </c>
      <c r="F75" s="718">
        <f t="shared" si="9"/>
        <v>1.2807021284372373E-2</v>
      </c>
      <c r="G75" s="719">
        <v>37195</v>
      </c>
      <c r="H75" s="718">
        <f t="shared" si="10"/>
        <v>1.7410618160030707E-2</v>
      </c>
    </row>
    <row r="76" spans="1:8" x14ac:dyDescent="0.25">
      <c r="A76" s="676">
        <v>2300</v>
      </c>
      <c r="B76" s="715" t="s">
        <v>15</v>
      </c>
      <c r="E76" s="716">
        <v>43049</v>
      </c>
      <c r="F76" s="718">
        <f t="shared" si="9"/>
        <v>3.2780156921989788E-2</v>
      </c>
      <c r="G76" s="719">
        <v>43647</v>
      </c>
      <c r="H76" s="718">
        <f t="shared" si="10"/>
        <v>2.0430736680490932E-2</v>
      </c>
    </row>
    <row r="77" spans="1:8" x14ac:dyDescent="0.25">
      <c r="A77" s="676">
        <v>2400</v>
      </c>
      <c r="B77" s="715" t="s">
        <v>16</v>
      </c>
      <c r="E77" s="716">
        <v>27044</v>
      </c>
      <c r="F77" s="718">
        <f t="shared" si="9"/>
        <v>2.0592965313904896E-2</v>
      </c>
      <c r="G77" s="719">
        <v>40788</v>
      </c>
      <c r="H77" s="718">
        <f t="shared" si="10"/>
        <v>1.909246655494912E-2</v>
      </c>
    </row>
    <row r="78" spans="1:8" x14ac:dyDescent="0.25">
      <c r="A78" s="676">
        <v>2500</v>
      </c>
      <c r="B78" s="715" t="s">
        <v>17</v>
      </c>
      <c r="E78" s="716">
        <v>20213</v>
      </c>
      <c r="F78" s="718">
        <f t="shared" si="9"/>
        <v>1.5391421679114024E-2</v>
      </c>
      <c r="G78" s="719">
        <v>38453</v>
      </c>
      <c r="H78" s="718">
        <f t="shared" si="10"/>
        <v>1.7999475738880517E-2</v>
      </c>
    </row>
    <row r="79" spans="1:8" x14ac:dyDescent="0.25">
      <c r="A79" s="676">
        <v>2600</v>
      </c>
      <c r="B79" s="715" t="s">
        <v>18</v>
      </c>
      <c r="E79" s="716">
        <v>87031</v>
      </c>
      <c r="F79" s="718">
        <f t="shared" si="9"/>
        <v>6.6270757441001957E-2</v>
      </c>
      <c r="G79" s="719">
        <v>94618</v>
      </c>
      <c r="H79" s="718">
        <f t="shared" si="10"/>
        <v>4.4289766610183773E-2</v>
      </c>
    </row>
    <row r="80" spans="1:8" x14ac:dyDescent="0.25">
      <c r="A80" s="676">
        <v>2700</v>
      </c>
      <c r="B80" s="715" t="s">
        <v>19</v>
      </c>
      <c r="E80" s="716">
        <v>27429</v>
      </c>
      <c r="F80" s="718">
        <f t="shared" si="9"/>
        <v>2.088612799863546E-2</v>
      </c>
      <c r="G80" s="719">
        <v>105180</v>
      </c>
      <c r="H80" s="718">
        <f t="shared" si="10"/>
        <v>4.9233736203038843E-2</v>
      </c>
    </row>
    <row r="81" spans="1:8" x14ac:dyDescent="0.25">
      <c r="A81" s="676">
        <v>2800</v>
      </c>
      <c r="B81" s="715" t="s">
        <v>20</v>
      </c>
      <c r="E81" s="716">
        <v>29818</v>
      </c>
      <c r="F81" s="718">
        <f t="shared" si="9"/>
        <v>2.2705259567002523E-2</v>
      </c>
      <c r="G81" s="719">
        <v>44376</v>
      </c>
      <c r="H81" s="718">
        <f t="shared" si="10"/>
        <v>2.0771974498441259E-2</v>
      </c>
    </row>
    <row r="82" spans="1:8" x14ac:dyDescent="0.25">
      <c r="A82" s="676">
        <v>3100</v>
      </c>
      <c r="B82" s="715" t="s">
        <v>21</v>
      </c>
      <c r="E82" s="716">
        <v>117658</v>
      </c>
      <c r="F82" s="718">
        <f t="shared" si="9"/>
        <v>8.959203937669806E-2</v>
      </c>
      <c r="G82" s="719">
        <v>142219</v>
      </c>
      <c r="H82" s="718">
        <f t="shared" si="10"/>
        <v>6.6571332278569886E-2</v>
      </c>
    </row>
    <row r="83" spans="1:8" x14ac:dyDescent="0.25">
      <c r="A83" s="676">
        <v>4100</v>
      </c>
      <c r="B83" s="715" t="s">
        <v>22</v>
      </c>
      <c r="E83" s="716">
        <v>62319</v>
      </c>
      <c r="F83" s="718">
        <f t="shared" si="9"/>
        <v>4.7453520388893625E-2</v>
      </c>
      <c r="G83" s="719">
        <v>132511</v>
      </c>
      <c r="H83" s="718">
        <f t="shared" si="10"/>
        <v>6.2027111789321923E-2</v>
      </c>
    </row>
    <row r="84" spans="1:8" x14ac:dyDescent="0.25">
      <c r="A84" s="676">
        <v>4300</v>
      </c>
      <c r="B84" s="715" t="s">
        <v>23</v>
      </c>
      <c r="E84" s="716">
        <v>32290</v>
      </c>
      <c r="F84" s="718">
        <f t="shared" si="9"/>
        <v>2.4587592441428378E-2</v>
      </c>
      <c r="G84" s="719">
        <v>83872</v>
      </c>
      <c r="H84" s="718">
        <f t="shared" si="10"/>
        <v>3.9259668404841928E-2</v>
      </c>
    </row>
    <row r="85" spans="1:8" x14ac:dyDescent="0.25">
      <c r="A85" s="676">
        <v>5100</v>
      </c>
      <c r="B85" s="715" t="s">
        <v>24</v>
      </c>
      <c r="E85" s="716">
        <v>12470</v>
      </c>
      <c r="F85" s="718">
        <f t="shared" si="9"/>
        <v>9.4954251391951659E-3</v>
      </c>
      <c r="G85" s="719">
        <v>12967</v>
      </c>
      <c r="H85" s="718">
        <f t="shared" si="10"/>
        <v>6.069726728891469E-3</v>
      </c>
    </row>
    <row r="86" spans="1:8" x14ac:dyDescent="0.25">
      <c r="A86" s="676">
        <v>5200</v>
      </c>
      <c r="B86" s="715" t="s">
        <v>25</v>
      </c>
      <c r="E86" s="716">
        <v>1337</v>
      </c>
      <c r="F86" s="718">
        <f t="shared" si="9"/>
        <v>1.0180740506097784E-3</v>
      </c>
      <c r="G86" s="719">
        <v>6148</v>
      </c>
      <c r="H86" s="718">
        <f t="shared" si="10"/>
        <v>2.8778190737429434E-3</v>
      </c>
    </row>
    <row r="87" spans="1:8" x14ac:dyDescent="0.25">
      <c r="A87" s="676">
        <v>5300</v>
      </c>
      <c r="B87" s="715" t="s">
        <v>26</v>
      </c>
      <c r="E87" s="716">
        <v>7552</v>
      </c>
      <c r="F87" s="718">
        <f t="shared" si="9"/>
        <v>5.7505573898317475E-3</v>
      </c>
      <c r="G87" s="719">
        <v>9999</v>
      </c>
      <c r="H87" s="718">
        <f t="shared" si="10"/>
        <v>4.680434762256944E-3</v>
      </c>
    </row>
    <row r="88" spans="1:8" x14ac:dyDescent="0.25">
      <c r="A88" s="676">
        <v>5400</v>
      </c>
      <c r="B88" s="715" t="s">
        <v>27</v>
      </c>
      <c r="E88" s="716">
        <v>5306</v>
      </c>
      <c r="F88" s="718">
        <f t="shared" si="9"/>
        <v>4.0403148186503243E-3</v>
      </c>
      <c r="G88" s="719">
        <v>6136</v>
      </c>
      <c r="H88" s="718">
        <f t="shared" si="10"/>
        <v>2.8722019903198929E-3</v>
      </c>
    </row>
    <row r="89" spans="1:8" x14ac:dyDescent="0.25">
      <c r="A89" s="676">
        <v>5500</v>
      </c>
      <c r="B89" s="715" t="s">
        <v>28</v>
      </c>
      <c r="E89" s="716">
        <v>2576</v>
      </c>
      <c r="F89" s="718">
        <f t="shared" si="9"/>
        <v>1.9615248723790493E-3</v>
      </c>
      <c r="G89" s="719">
        <v>4428</v>
      </c>
      <c r="H89" s="718">
        <f t="shared" si="10"/>
        <v>2.0727037831056853E-3</v>
      </c>
    </row>
    <row r="90" spans="1:8" ht="15" customHeight="1" thickBot="1" x14ac:dyDescent="0.3">
      <c r="A90" s="695">
        <v>5600</v>
      </c>
      <c r="B90" s="720" t="s">
        <v>29</v>
      </c>
      <c r="E90" s="721">
        <v>7023</v>
      </c>
      <c r="F90" s="723">
        <f t="shared" si="9"/>
        <v>5.3477442463967639E-3</v>
      </c>
      <c r="G90" s="724">
        <v>19157</v>
      </c>
      <c r="H90" s="723">
        <f t="shared" si="10"/>
        <v>8.9672055946150887E-3</v>
      </c>
    </row>
    <row r="91" spans="1:8" ht="15.75" thickBot="1" x14ac:dyDescent="0.3">
      <c r="A91" s="725">
        <v>2018</v>
      </c>
      <c r="B91" s="726" t="s">
        <v>198</v>
      </c>
      <c r="E91" s="727">
        <f>SUM(E65:E90)</f>
        <v>1313264</v>
      </c>
      <c r="F91" s="729">
        <f>SUM(F65:F90)</f>
        <v>0.99999999999999978</v>
      </c>
      <c r="G91" s="730">
        <f>SUM(G65:G90)</f>
        <v>2136340</v>
      </c>
      <c r="H91" s="731">
        <f>SUM(H65:H90)</f>
        <v>1.0000000000000002</v>
      </c>
    </row>
    <row r="92" spans="1:8" ht="15.75" thickBot="1" x14ac:dyDescent="0.3">
      <c r="A92" s="732"/>
      <c r="B92" s="732"/>
      <c r="E92" s="497"/>
      <c r="F92" s="733"/>
      <c r="G92" s="497"/>
      <c r="H92" s="733"/>
    </row>
    <row r="93" spans="1:8" ht="15.75" thickBot="1" x14ac:dyDescent="0.3">
      <c r="A93" s="1115" t="s">
        <v>195</v>
      </c>
      <c r="B93" s="1116"/>
      <c r="C93" s="1117"/>
      <c r="D93" s="1117"/>
      <c r="E93" s="1109" t="s">
        <v>196</v>
      </c>
      <c r="F93" s="1111"/>
      <c r="G93" s="1043" t="s">
        <v>197</v>
      </c>
      <c r="H93" s="1044"/>
    </row>
    <row r="94" spans="1:8" x14ac:dyDescent="0.25">
      <c r="A94" s="666">
        <v>1100</v>
      </c>
      <c r="B94" s="710" t="s">
        <v>4</v>
      </c>
      <c r="E94" s="711">
        <v>264082</v>
      </c>
      <c r="F94" s="713">
        <f t="shared" ref="F94:F119" si="11">E94/E$120</f>
        <v>0.19507687261816031</v>
      </c>
      <c r="G94" s="714">
        <v>460094</v>
      </c>
      <c r="H94" s="713">
        <f t="shared" ref="H94:H119" si="12">G94/G$120</f>
        <v>0.23367124094708935</v>
      </c>
    </row>
    <row r="95" spans="1:8" x14ac:dyDescent="0.25">
      <c r="A95" s="676">
        <v>1200</v>
      </c>
      <c r="B95" s="715" t="s">
        <v>5</v>
      </c>
      <c r="E95" s="716">
        <v>25793</v>
      </c>
      <c r="F95" s="718">
        <f t="shared" si="11"/>
        <v>1.9053240188427113E-2</v>
      </c>
      <c r="G95" s="719">
        <v>25348</v>
      </c>
      <c r="H95" s="718">
        <f t="shared" si="12"/>
        <v>1.287367063149448E-2</v>
      </c>
    </row>
    <row r="96" spans="1:8" x14ac:dyDescent="0.25">
      <c r="A96" s="676">
        <v>1300</v>
      </c>
      <c r="B96" s="715" t="s">
        <v>6</v>
      </c>
      <c r="E96" s="716">
        <v>29968</v>
      </c>
      <c r="F96" s="718">
        <f t="shared" si="11"/>
        <v>2.2137304771324921E-2</v>
      </c>
      <c r="G96" s="719">
        <v>26034</v>
      </c>
      <c r="H96" s="718">
        <f t="shared" si="12"/>
        <v>1.3222074373533505E-2</v>
      </c>
    </row>
    <row r="97" spans="1:8" x14ac:dyDescent="0.25">
      <c r="A97" s="676">
        <v>1400</v>
      </c>
      <c r="B97" s="715" t="s">
        <v>7</v>
      </c>
      <c r="E97" s="716">
        <v>217391</v>
      </c>
      <c r="F97" s="718">
        <f t="shared" si="11"/>
        <v>0.16058631945885932</v>
      </c>
      <c r="G97" s="719">
        <v>305042</v>
      </c>
      <c r="H97" s="718">
        <f t="shared" si="12"/>
        <v>0.15492386921146989</v>
      </c>
    </row>
    <row r="98" spans="1:8" x14ac:dyDescent="0.25">
      <c r="A98" s="676">
        <v>1500</v>
      </c>
      <c r="B98" s="715" t="s">
        <v>8</v>
      </c>
      <c r="E98" s="716">
        <v>124757</v>
      </c>
      <c r="F98" s="718">
        <f t="shared" si="11"/>
        <v>9.2157759321816052E-2</v>
      </c>
      <c r="G98" s="719">
        <v>87698</v>
      </c>
      <c r="H98" s="718">
        <f t="shared" si="12"/>
        <v>4.4539812491746995E-2</v>
      </c>
    </row>
    <row r="99" spans="1:8" x14ac:dyDescent="0.25">
      <c r="A99" s="676">
        <v>1600</v>
      </c>
      <c r="B99" s="715" t="s">
        <v>9</v>
      </c>
      <c r="E99" s="716">
        <v>4139</v>
      </c>
      <c r="F99" s="718">
        <f t="shared" si="11"/>
        <v>3.0574714511650376E-3</v>
      </c>
      <c r="G99" s="719">
        <v>19004</v>
      </c>
      <c r="H99" s="718">
        <f t="shared" si="12"/>
        <v>9.651697833395971E-3</v>
      </c>
    </row>
    <row r="100" spans="1:8" x14ac:dyDescent="0.25">
      <c r="A100" s="676">
        <v>1700</v>
      </c>
      <c r="B100" s="715" t="s">
        <v>10</v>
      </c>
      <c r="E100" s="716">
        <v>34524</v>
      </c>
      <c r="F100" s="718">
        <f t="shared" si="11"/>
        <v>2.5502813331727898E-2</v>
      </c>
      <c r="G100" s="719">
        <v>34329</v>
      </c>
      <c r="H100" s="718">
        <f t="shared" si="12"/>
        <v>1.7434915540025801E-2</v>
      </c>
    </row>
    <row r="101" spans="1:8" x14ac:dyDescent="0.25">
      <c r="A101" s="676">
        <v>1800</v>
      </c>
      <c r="B101" s="715" t="s">
        <v>11</v>
      </c>
      <c r="E101" s="716">
        <v>35089</v>
      </c>
      <c r="F101" s="718">
        <f t="shared" si="11"/>
        <v>2.592017776031167E-2</v>
      </c>
      <c r="G101" s="719">
        <v>39534</v>
      </c>
      <c r="H101" s="718">
        <f t="shared" si="12"/>
        <v>2.007841623581753E-2</v>
      </c>
    </row>
    <row r="102" spans="1:8" x14ac:dyDescent="0.25">
      <c r="A102" s="676">
        <v>1900</v>
      </c>
      <c r="B102" s="715" t="s">
        <v>12</v>
      </c>
      <c r="E102" s="716">
        <v>12494</v>
      </c>
      <c r="F102" s="718">
        <f t="shared" si="11"/>
        <v>9.2292941074790975E-3</v>
      </c>
      <c r="G102" s="719">
        <v>5418</v>
      </c>
      <c r="H102" s="718">
        <f t="shared" si="12"/>
        <v>2.7516785340633222E-3</v>
      </c>
    </row>
    <row r="103" spans="1:8" x14ac:dyDescent="0.25">
      <c r="A103" s="676">
        <v>2100</v>
      </c>
      <c r="B103" s="715" t="s">
        <v>13</v>
      </c>
      <c r="E103" s="716">
        <v>86023</v>
      </c>
      <c r="F103" s="718">
        <f t="shared" si="11"/>
        <v>6.354502697356125E-2</v>
      </c>
      <c r="G103" s="719">
        <v>185016</v>
      </c>
      <c r="H103" s="718">
        <f t="shared" si="12"/>
        <v>9.3965403406840092E-2</v>
      </c>
    </row>
    <row r="104" spans="1:8" x14ac:dyDescent="0.25">
      <c r="A104" s="676">
        <v>2200</v>
      </c>
      <c r="B104" s="715" t="s">
        <v>14</v>
      </c>
      <c r="E104" s="716">
        <v>15945</v>
      </c>
      <c r="F104" s="718">
        <f t="shared" si="11"/>
        <v>1.1778541263306724E-2</v>
      </c>
      <c r="G104" s="719">
        <v>35011</v>
      </c>
      <c r="H104" s="718">
        <f t="shared" si="12"/>
        <v>1.7781287773364889E-2</v>
      </c>
    </row>
    <row r="105" spans="1:8" x14ac:dyDescent="0.25">
      <c r="A105" s="676">
        <v>2300</v>
      </c>
      <c r="B105" s="715" t="s">
        <v>15</v>
      </c>
      <c r="E105" s="716">
        <v>46361</v>
      </c>
      <c r="F105" s="718">
        <f t="shared" si="11"/>
        <v>3.4246782785083911E-2</v>
      </c>
      <c r="G105" s="719">
        <v>45827</v>
      </c>
      <c r="H105" s="718">
        <f t="shared" si="12"/>
        <v>2.3274487297991853E-2</v>
      </c>
    </row>
    <row r="106" spans="1:8" x14ac:dyDescent="0.25">
      <c r="A106" s="676">
        <v>2400</v>
      </c>
      <c r="B106" s="715" t="s">
        <v>16</v>
      </c>
      <c r="E106" s="716">
        <v>32912</v>
      </c>
      <c r="F106" s="718">
        <f t="shared" si="11"/>
        <v>2.4312031988582682E-2</v>
      </c>
      <c r="G106" s="719">
        <v>33714</v>
      </c>
      <c r="H106" s="718">
        <f t="shared" si="12"/>
        <v>1.712257107741064E-2</v>
      </c>
    </row>
    <row r="107" spans="1:8" x14ac:dyDescent="0.25">
      <c r="A107" s="676">
        <v>2500</v>
      </c>
      <c r="B107" s="715" t="s">
        <v>17</v>
      </c>
      <c r="E107" s="716">
        <v>24670</v>
      </c>
      <c r="F107" s="718">
        <f t="shared" si="11"/>
        <v>1.8223682217985378E-2</v>
      </c>
      <c r="G107" s="719">
        <v>26450</v>
      </c>
      <c r="H107" s="718">
        <f t="shared" si="12"/>
        <v>1.3433351278326849E-2</v>
      </c>
    </row>
    <row r="108" spans="1:8" x14ac:dyDescent="0.25">
      <c r="A108" s="676">
        <v>2600</v>
      </c>
      <c r="B108" s="715" t="s">
        <v>18</v>
      </c>
      <c r="E108" s="716">
        <v>84397</v>
      </c>
      <c r="F108" s="718">
        <f t="shared" si="11"/>
        <v>6.2343903856964408E-2</v>
      </c>
      <c r="G108" s="719">
        <v>105328</v>
      </c>
      <c r="H108" s="718">
        <f t="shared" si="12"/>
        <v>5.3493687086714946E-2</v>
      </c>
    </row>
    <row r="109" spans="1:8" x14ac:dyDescent="0.25">
      <c r="A109" s="676">
        <v>2700</v>
      </c>
      <c r="B109" s="715" t="s">
        <v>19</v>
      </c>
      <c r="E109" s="716">
        <v>28771</v>
      </c>
      <c r="F109" s="718">
        <f t="shared" si="11"/>
        <v>2.1253083141210268E-2</v>
      </c>
      <c r="G109" s="719">
        <v>88132</v>
      </c>
      <c r="H109" s="718">
        <f t="shared" si="12"/>
        <v>4.4760231185690051E-2</v>
      </c>
    </row>
    <row r="110" spans="1:8" x14ac:dyDescent="0.25">
      <c r="A110" s="676">
        <v>2800</v>
      </c>
      <c r="B110" s="715" t="s">
        <v>20</v>
      </c>
      <c r="E110" s="716">
        <v>31498</v>
      </c>
      <c r="F110" s="718">
        <f t="shared" si="11"/>
        <v>2.3267512869967713E-2</v>
      </c>
      <c r="G110" s="719">
        <v>43613</v>
      </c>
      <c r="H110" s="718">
        <f t="shared" si="12"/>
        <v>2.2150047232577273E-2</v>
      </c>
    </row>
    <row r="111" spans="1:8" x14ac:dyDescent="0.25">
      <c r="A111" s="676">
        <v>3100</v>
      </c>
      <c r="B111" s="715" t="s">
        <v>21</v>
      </c>
      <c r="E111" s="716">
        <v>110757</v>
      </c>
      <c r="F111" s="718">
        <f t="shared" si="11"/>
        <v>8.181598587018267E-2</v>
      </c>
      <c r="G111" s="719">
        <v>131889</v>
      </c>
      <c r="H111" s="718">
        <f t="shared" si="12"/>
        <v>6.698341273146502E-2</v>
      </c>
    </row>
    <row r="112" spans="1:8" x14ac:dyDescent="0.25">
      <c r="A112" s="676">
        <v>4100</v>
      </c>
      <c r="B112" s="715" t="s">
        <v>22</v>
      </c>
      <c r="E112" s="716">
        <v>64652</v>
      </c>
      <c r="F112" s="718">
        <f t="shared" si="11"/>
        <v>4.7758309799642913E-2</v>
      </c>
      <c r="G112" s="719">
        <v>138627</v>
      </c>
      <c r="H112" s="718">
        <f t="shared" si="12"/>
        <v>7.0405489136507224E-2</v>
      </c>
    </row>
    <row r="113" spans="1:8" x14ac:dyDescent="0.25">
      <c r="A113" s="676">
        <v>4300</v>
      </c>
      <c r="B113" s="715" t="s">
        <v>23</v>
      </c>
      <c r="E113" s="716">
        <v>39294</v>
      </c>
      <c r="F113" s="718">
        <f t="shared" si="11"/>
        <v>2.9026403286320123E-2</v>
      </c>
      <c r="G113" s="719">
        <v>78555</v>
      </c>
      <c r="H113" s="718">
        <f t="shared" si="12"/>
        <v>3.9896291480868269E-2</v>
      </c>
    </row>
    <row r="114" spans="1:8" x14ac:dyDescent="0.25">
      <c r="A114" s="676">
        <v>5100</v>
      </c>
      <c r="B114" s="715" t="s">
        <v>24</v>
      </c>
      <c r="E114" s="716">
        <v>11774</v>
      </c>
      <c r="F114" s="718">
        <f t="shared" si="11"/>
        <v>8.6974314728236659E-3</v>
      </c>
      <c r="G114" s="719">
        <v>10821</v>
      </c>
      <c r="H114" s="718">
        <f t="shared" si="12"/>
        <v>5.495738910501884E-3</v>
      </c>
    </row>
    <row r="115" spans="1:8" x14ac:dyDescent="0.25">
      <c r="A115" s="676">
        <v>5200</v>
      </c>
      <c r="B115" s="715" t="s">
        <v>25</v>
      </c>
      <c r="E115" s="716">
        <v>3072</v>
      </c>
      <c r="F115" s="718">
        <f t="shared" si="11"/>
        <v>2.2692805745298372E-3</v>
      </c>
      <c r="G115" s="719">
        <v>6024</v>
      </c>
      <c r="H115" s="718">
        <f t="shared" si="12"/>
        <v>3.0594521021036275E-3</v>
      </c>
    </row>
    <row r="116" spans="1:8" x14ac:dyDescent="0.25">
      <c r="A116" s="676">
        <v>5300</v>
      </c>
      <c r="B116" s="715" t="s">
        <v>26</v>
      </c>
      <c r="E116" s="716">
        <v>6594</v>
      </c>
      <c r="F116" s="718">
        <f t="shared" si="11"/>
        <v>4.8709752957193184E-3</v>
      </c>
      <c r="G116" s="719">
        <v>9986</v>
      </c>
      <c r="H116" s="718">
        <f t="shared" si="12"/>
        <v>5.0716614693902427E-3</v>
      </c>
    </row>
    <row r="117" spans="1:8" x14ac:dyDescent="0.25">
      <c r="A117" s="676">
        <v>5400</v>
      </c>
      <c r="B117" s="715" t="s">
        <v>27</v>
      </c>
      <c r="E117" s="716">
        <v>7818</v>
      </c>
      <c r="F117" s="718">
        <f t="shared" si="11"/>
        <v>5.7751417746335501E-3</v>
      </c>
      <c r="G117" s="719">
        <v>4881</v>
      </c>
      <c r="H117" s="718">
        <f t="shared" si="12"/>
        <v>2.4789484910969131E-3</v>
      </c>
    </row>
    <row r="118" spans="1:8" x14ac:dyDescent="0.25">
      <c r="A118" s="676">
        <v>5500</v>
      </c>
      <c r="B118" s="715" t="s">
        <v>28</v>
      </c>
      <c r="E118" s="716">
        <v>4306</v>
      </c>
      <c r="F118" s="718">
        <f t="shared" si="11"/>
        <v>3.1808340344809502E-3</v>
      </c>
      <c r="G118" s="719">
        <v>4402</v>
      </c>
      <c r="H118" s="718">
        <f t="shared" si="12"/>
        <v>2.2356753242795762E-3</v>
      </c>
    </row>
    <row r="119" spans="1:8" ht="15" customHeight="1" thickBot="1" x14ac:dyDescent="0.3">
      <c r="A119" s="695">
        <v>5600</v>
      </c>
      <c r="B119" s="720" t="s">
        <v>29</v>
      </c>
      <c r="E119" s="721">
        <v>6652</v>
      </c>
      <c r="F119" s="723">
        <f t="shared" si="11"/>
        <v>4.9138197857332283E-3</v>
      </c>
      <c r="G119" s="724">
        <v>18203</v>
      </c>
      <c r="H119" s="723">
        <f t="shared" si="12"/>
        <v>9.2448882162337858E-3</v>
      </c>
    </row>
    <row r="120" spans="1:8" ht="15.75" thickBot="1" x14ac:dyDescent="0.3">
      <c r="A120" s="734">
        <v>2017</v>
      </c>
      <c r="B120" s="735" t="s">
        <v>198</v>
      </c>
      <c r="E120" s="727">
        <f>SUM(E94:E119)</f>
        <v>1353733</v>
      </c>
      <c r="F120" s="729">
        <f>SUM(F94:F119)</f>
        <v>0.99999999999999989</v>
      </c>
      <c r="G120" s="730">
        <f>SUM(G94:G119)</f>
        <v>1968980</v>
      </c>
      <c r="H120" s="731">
        <f>SUM(H94:H119)</f>
        <v>1.0000000000000002</v>
      </c>
    </row>
    <row r="121" spans="1:8" x14ac:dyDescent="0.25">
      <c r="A121" s="43" t="s">
        <v>201</v>
      </c>
    </row>
    <row r="123" spans="1:8" x14ac:dyDescent="0.25">
      <c r="A123" s="41" t="s">
        <v>311</v>
      </c>
    </row>
  </sheetData>
  <mergeCells count="19">
    <mergeCell ref="I5:J5"/>
    <mergeCell ref="A93:B93"/>
    <mergeCell ref="C93:D93"/>
    <mergeCell ref="E93:F93"/>
    <mergeCell ref="G93:H93"/>
    <mergeCell ref="A33:B33"/>
    <mergeCell ref="A35:B35"/>
    <mergeCell ref="C35:D35"/>
    <mergeCell ref="E35:F35"/>
    <mergeCell ref="G35:H35"/>
    <mergeCell ref="A64:B64"/>
    <mergeCell ref="C64:D64"/>
    <mergeCell ref="E64:F64"/>
    <mergeCell ref="G64:H64"/>
    <mergeCell ref="A6:B6"/>
    <mergeCell ref="A5:B5"/>
    <mergeCell ref="C5:D5"/>
    <mergeCell ref="E5:F5"/>
    <mergeCell ref="G5:H5"/>
  </mergeCells>
  <hyperlinks>
    <hyperlink ref="A123" location="'0 Seznam'!A1" display="Seznam"/>
  </hyperlinks>
  <pageMargins left="0.70866141732283472" right="0.70866141732283472" top="0.78740157480314965" bottom="0.78740157480314965" header="0.31496062992125984" footer="0.31496062992125984"/>
  <pageSetup paperSize="8" scale="66" orientation="portrait" r:id="rId1"/>
  <headerFooter>
    <oddHeader xml:space="preserve">&amp;LČ. j. MSMT-1753/2020-1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25"/>
  <sheetViews>
    <sheetView zoomScale="85" zoomScaleNormal="85" workbookViewId="0">
      <selection activeCell="J3" sqref="J3"/>
    </sheetView>
  </sheetViews>
  <sheetFormatPr defaultRowHeight="15" x14ac:dyDescent="0.25"/>
  <cols>
    <col min="1" max="1" width="10.140625" style="759" customWidth="1"/>
    <col min="2" max="2" width="50.85546875" style="759" bestFit="1" customWidth="1"/>
    <col min="3" max="3" width="15.42578125" style="759" customWidth="1"/>
    <col min="4" max="4" width="45.28515625" style="759" bestFit="1" customWidth="1"/>
    <col min="5" max="10" width="18.7109375" style="759" customWidth="1"/>
    <col min="11" max="14" width="18.140625" style="759" customWidth="1"/>
    <col min="15" max="15" width="9.140625" style="759"/>
    <col min="16" max="16" width="16.42578125" style="759" bestFit="1" customWidth="1"/>
    <col min="17" max="16384" width="9.140625" style="759"/>
  </cols>
  <sheetData>
    <row r="1" spans="1:14" ht="27.75" customHeight="1" x14ac:dyDescent="0.25">
      <c r="A1" s="1120" t="s">
        <v>284</v>
      </c>
      <c r="B1" s="1120"/>
      <c r="C1" s="1120"/>
      <c r="D1" s="1120"/>
      <c r="E1" s="1120"/>
    </row>
    <row r="2" spans="1:14" ht="15.75" customHeight="1" x14ac:dyDescent="0.25">
      <c r="A2" s="760"/>
      <c r="B2" s="760"/>
      <c r="C2" s="760"/>
      <c r="D2" s="760"/>
      <c r="E2" s="760"/>
    </row>
    <row r="3" spans="1:14" x14ac:dyDescent="0.25">
      <c r="B3" s="864" t="s">
        <v>285</v>
      </c>
      <c r="C3" s="815">
        <v>100000000</v>
      </c>
    </row>
    <row r="4" spans="1:14" ht="15.75" thickBot="1" x14ac:dyDescent="0.3">
      <c r="L4" s="42" t="s">
        <v>283</v>
      </c>
    </row>
    <row r="5" spans="1:14" ht="15.75" thickBot="1" x14ac:dyDescent="0.3">
      <c r="E5" s="1121" t="s">
        <v>243</v>
      </c>
      <c r="F5" s="1122"/>
      <c r="G5" s="1122"/>
      <c r="H5" s="1122"/>
      <c r="I5" s="1122"/>
      <c r="J5" s="1123"/>
      <c r="K5" s="1124" t="s">
        <v>244</v>
      </c>
      <c r="L5" s="1126" t="s">
        <v>282</v>
      </c>
    </row>
    <row r="6" spans="1:14" ht="15.75" thickBot="1" x14ac:dyDescent="0.3">
      <c r="A6" s="816" t="s">
        <v>2</v>
      </c>
      <c r="B6" s="817" t="s">
        <v>195</v>
      </c>
      <c r="C6" s="817" t="s">
        <v>245</v>
      </c>
      <c r="D6" s="818" t="s">
        <v>246</v>
      </c>
      <c r="E6" s="816">
        <v>2014</v>
      </c>
      <c r="F6" s="817">
        <v>2015</v>
      </c>
      <c r="G6" s="817">
        <v>2016</v>
      </c>
      <c r="H6" s="819">
        <v>2017</v>
      </c>
      <c r="I6" s="819">
        <v>2018</v>
      </c>
      <c r="J6" s="820" t="s">
        <v>30</v>
      </c>
      <c r="K6" s="1125"/>
      <c r="L6" s="1127"/>
    </row>
    <row r="7" spans="1:14" x14ac:dyDescent="0.25">
      <c r="A7" s="789" t="s">
        <v>247</v>
      </c>
      <c r="B7" s="821" t="s">
        <v>6</v>
      </c>
      <c r="C7" s="822">
        <v>13530</v>
      </c>
      <c r="D7" s="823" t="s">
        <v>248</v>
      </c>
      <c r="E7" s="824">
        <v>7190</v>
      </c>
      <c r="F7" s="825">
        <v>5604.1</v>
      </c>
      <c r="G7" s="825">
        <v>8416.51</v>
      </c>
      <c r="H7" s="825">
        <v>5271.1</v>
      </c>
      <c r="I7" s="825">
        <v>6771.5</v>
      </c>
      <c r="J7" s="826">
        <f>SUM(E7:I7)</f>
        <v>33253.21</v>
      </c>
      <c r="K7" s="713">
        <f>J7/$J$23</f>
        <v>6.6980804852285816E-2</v>
      </c>
      <c r="L7" s="827">
        <f>K7*$C$3</f>
        <v>6698080.4852285814</v>
      </c>
    </row>
    <row r="8" spans="1:14" x14ac:dyDescent="0.25">
      <c r="A8" s="797" t="s">
        <v>249</v>
      </c>
      <c r="B8" s="828" t="s">
        <v>10</v>
      </c>
      <c r="C8" s="829">
        <v>17500</v>
      </c>
      <c r="D8" s="830" t="s">
        <v>250</v>
      </c>
      <c r="E8" s="831">
        <v>3824.5</v>
      </c>
      <c r="F8" s="832">
        <v>5431.6</v>
      </c>
      <c r="G8" s="832">
        <v>5650.8</v>
      </c>
      <c r="H8" s="832">
        <v>5552.2</v>
      </c>
      <c r="I8" s="832">
        <v>7266.7</v>
      </c>
      <c r="J8" s="833">
        <f t="shared" ref="J8:J22" si="0">SUM(E8:I8)</f>
        <v>27725.800000000003</v>
      </c>
      <c r="K8" s="718">
        <f t="shared" ref="K8:K22" si="1">J8/$J$23</f>
        <v>5.5847131725734342E-2</v>
      </c>
      <c r="L8" s="834">
        <f t="shared" ref="L8:L22" si="2">K8*$C$3</f>
        <v>5584713.1725734342</v>
      </c>
      <c r="N8" s="755"/>
    </row>
    <row r="9" spans="1:14" x14ac:dyDescent="0.25">
      <c r="A9" s="797" t="s">
        <v>251</v>
      </c>
      <c r="B9" s="828" t="s">
        <v>13</v>
      </c>
      <c r="C9" s="829">
        <v>21450</v>
      </c>
      <c r="D9" s="830" t="s">
        <v>252</v>
      </c>
      <c r="E9" s="831">
        <v>8791.34</v>
      </c>
      <c r="F9" s="832">
        <v>7892.71</v>
      </c>
      <c r="G9" s="832">
        <v>6429.27</v>
      </c>
      <c r="H9" s="832">
        <v>9928.68</v>
      </c>
      <c r="I9" s="832">
        <v>10036.700000000001</v>
      </c>
      <c r="J9" s="833">
        <f t="shared" si="0"/>
        <v>43078.7</v>
      </c>
      <c r="K9" s="718">
        <f t="shared" si="1"/>
        <v>8.6771953684777053E-2</v>
      </c>
      <c r="L9" s="834">
        <f t="shared" si="2"/>
        <v>8677195.3684777059</v>
      </c>
      <c r="N9" s="755"/>
    </row>
    <row r="10" spans="1:14" x14ac:dyDescent="0.25">
      <c r="A10" s="797" t="s">
        <v>253</v>
      </c>
      <c r="B10" s="828" t="s">
        <v>15</v>
      </c>
      <c r="C10" s="829">
        <v>23410</v>
      </c>
      <c r="D10" s="830" t="s">
        <v>254</v>
      </c>
      <c r="E10" s="831">
        <v>5511</v>
      </c>
      <c r="F10" s="832">
        <v>5154.1499999999996</v>
      </c>
      <c r="G10" s="832">
        <v>6064.85</v>
      </c>
      <c r="H10" s="832">
        <v>5987.11</v>
      </c>
      <c r="I10" s="832">
        <v>8403.85</v>
      </c>
      <c r="J10" s="833">
        <f t="shared" si="0"/>
        <v>31120.959999999999</v>
      </c>
      <c r="K10" s="718">
        <f t="shared" si="1"/>
        <v>6.2685886522708428E-2</v>
      </c>
      <c r="L10" s="834">
        <f t="shared" si="2"/>
        <v>6268588.6522708433</v>
      </c>
      <c r="N10" s="755"/>
    </row>
    <row r="11" spans="1:14" x14ac:dyDescent="0.25">
      <c r="A11" s="797" t="s">
        <v>255</v>
      </c>
      <c r="B11" s="828" t="s">
        <v>16</v>
      </c>
      <c r="C11" s="829">
        <v>24520</v>
      </c>
      <c r="D11" s="830" t="s">
        <v>256</v>
      </c>
      <c r="E11" s="831">
        <v>1659.54</v>
      </c>
      <c r="F11" s="832">
        <v>1720.08</v>
      </c>
      <c r="G11" s="832">
        <v>1107.6300000000001</v>
      </c>
      <c r="H11" s="832">
        <v>791.5</v>
      </c>
      <c r="I11" s="832">
        <v>1506.12</v>
      </c>
      <c r="J11" s="833">
        <f t="shared" si="0"/>
        <v>6784.87</v>
      </c>
      <c r="K11" s="718">
        <f t="shared" si="1"/>
        <v>1.3666531845140018E-2</v>
      </c>
      <c r="L11" s="834">
        <f t="shared" si="2"/>
        <v>1366653.1845140017</v>
      </c>
      <c r="N11" s="755"/>
    </row>
    <row r="12" spans="1:14" x14ac:dyDescent="0.25">
      <c r="A12" s="797" t="s">
        <v>257</v>
      </c>
      <c r="B12" s="828" t="s">
        <v>17</v>
      </c>
      <c r="C12" s="829">
        <v>25110</v>
      </c>
      <c r="D12" s="830" t="s">
        <v>258</v>
      </c>
      <c r="E12" s="831">
        <v>365</v>
      </c>
      <c r="F12" s="832">
        <v>570</v>
      </c>
      <c r="G12" s="832">
        <v>382.4</v>
      </c>
      <c r="H12" s="832">
        <v>490.6</v>
      </c>
      <c r="I12" s="832">
        <v>458</v>
      </c>
      <c r="J12" s="833">
        <f t="shared" si="0"/>
        <v>2266</v>
      </c>
      <c r="K12" s="718">
        <f t="shared" si="1"/>
        <v>4.5643263851904729E-3</v>
      </c>
      <c r="L12" s="834">
        <f t="shared" si="2"/>
        <v>456432.63851904729</v>
      </c>
      <c r="N12" s="755"/>
    </row>
    <row r="13" spans="1:14" x14ac:dyDescent="0.25">
      <c r="A13" s="797" t="s">
        <v>259</v>
      </c>
      <c r="B13" s="828" t="s">
        <v>18</v>
      </c>
      <c r="C13" s="829">
        <v>26410</v>
      </c>
      <c r="D13" s="830" t="s">
        <v>252</v>
      </c>
      <c r="E13" s="831">
        <v>1244.8</v>
      </c>
      <c r="F13" s="832">
        <v>855.55</v>
      </c>
      <c r="G13" s="832">
        <v>808.3</v>
      </c>
      <c r="H13" s="832">
        <v>1736.47</v>
      </c>
      <c r="I13" s="832">
        <v>3284.54</v>
      </c>
      <c r="J13" s="833">
        <f t="shared" si="0"/>
        <v>7929.66</v>
      </c>
      <c r="K13" s="718">
        <f t="shared" si="1"/>
        <v>1.5972443231945931E-2</v>
      </c>
      <c r="L13" s="834">
        <f t="shared" si="2"/>
        <v>1597244.323194593</v>
      </c>
      <c r="N13" s="755"/>
    </row>
    <row r="14" spans="1:14" x14ac:dyDescent="0.25">
      <c r="A14" s="797" t="s">
        <v>259</v>
      </c>
      <c r="B14" s="828" t="s">
        <v>18</v>
      </c>
      <c r="C14" s="829">
        <v>26420</v>
      </c>
      <c r="D14" s="830" t="s">
        <v>260</v>
      </c>
      <c r="E14" s="831">
        <v>5539.7</v>
      </c>
      <c r="F14" s="832">
        <v>5341.26</v>
      </c>
      <c r="G14" s="832">
        <v>6359.86</v>
      </c>
      <c r="H14" s="832">
        <v>5955.1</v>
      </c>
      <c r="I14" s="832">
        <v>7545.43</v>
      </c>
      <c r="J14" s="833">
        <f t="shared" si="0"/>
        <v>30741.35</v>
      </c>
      <c r="K14" s="718">
        <f t="shared" si="1"/>
        <v>6.1921251068568016E-2</v>
      </c>
      <c r="L14" s="834">
        <f t="shared" si="2"/>
        <v>6192125.1068568015</v>
      </c>
      <c r="N14" s="755"/>
    </row>
    <row r="15" spans="1:14" x14ac:dyDescent="0.25">
      <c r="A15" s="797" t="s">
        <v>261</v>
      </c>
      <c r="B15" s="828" t="s">
        <v>20</v>
      </c>
      <c r="C15" s="829">
        <v>28130</v>
      </c>
      <c r="D15" s="830" t="s">
        <v>262</v>
      </c>
      <c r="E15" s="831">
        <v>5576.62</v>
      </c>
      <c r="F15" s="832">
        <v>8657.9500000000007</v>
      </c>
      <c r="G15" s="832">
        <v>6830.17</v>
      </c>
      <c r="H15" s="832">
        <v>6566.33</v>
      </c>
      <c r="I15" s="832">
        <v>6631.64</v>
      </c>
      <c r="J15" s="833">
        <f t="shared" si="0"/>
        <v>34262.71</v>
      </c>
      <c r="K15" s="718">
        <f t="shared" si="1"/>
        <v>6.901420621409067E-2</v>
      </c>
      <c r="L15" s="834">
        <f t="shared" si="2"/>
        <v>6901420.621409067</v>
      </c>
      <c r="N15" s="755"/>
    </row>
    <row r="16" spans="1:14" x14ac:dyDescent="0.25">
      <c r="A16" s="797" t="s">
        <v>263</v>
      </c>
      <c r="B16" s="828" t="s">
        <v>24</v>
      </c>
      <c r="C16" s="829">
        <v>51110</v>
      </c>
      <c r="D16" s="830" t="s">
        <v>271</v>
      </c>
      <c r="E16" s="831">
        <v>9958.8700000000008</v>
      </c>
      <c r="F16" s="832">
        <v>12353</v>
      </c>
      <c r="G16" s="832">
        <v>12909.48</v>
      </c>
      <c r="H16" s="832">
        <v>9767.0499999999993</v>
      </c>
      <c r="I16" s="832">
        <v>11715</v>
      </c>
      <c r="J16" s="833">
        <f t="shared" si="0"/>
        <v>56703.400000000009</v>
      </c>
      <c r="K16" s="718">
        <f t="shared" si="1"/>
        <v>0.11421572142542342</v>
      </c>
      <c r="L16" s="834">
        <f t="shared" si="2"/>
        <v>11421572.142542342</v>
      </c>
      <c r="N16" s="755"/>
    </row>
    <row r="17" spans="1:14" x14ac:dyDescent="0.25">
      <c r="A17" s="797" t="s">
        <v>263</v>
      </c>
      <c r="B17" s="828" t="s">
        <v>24</v>
      </c>
      <c r="C17" s="829">
        <v>51210</v>
      </c>
      <c r="D17" s="830" t="s">
        <v>265</v>
      </c>
      <c r="E17" s="831">
        <v>7088.79</v>
      </c>
      <c r="F17" s="832">
        <v>4604.75</v>
      </c>
      <c r="G17" s="832">
        <v>4680.63</v>
      </c>
      <c r="H17" s="832">
        <v>2918.92</v>
      </c>
      <c r="I17" s="832">
        <v>4312.6000000000004</v>
      </c>
      <c r="J17" s="833">
        <f t="shared" si="0"/>
        <v>23605.690000000002</v>
      </c>
      <c r="K17" s="718">
        <f t="shared" si="1"/>
        <v>4.7548134910691479E-2</v>
      </c>
      <c r="L17" s="834">
        <f t="shared" si="2"/>
        <v>4754813.4910691483</v>
      </c>
      <c r="N17" s="755"/>
    </row>
    <row r="18" spans="1:14" x14ac:dyDescent="0.25">
      <c r="A18" s="797" t="s">
        <v>263</v>
      </c>
      <c r="B18" s="828" t="s">
        <v>24</v>
      </c>
      <c r="C18" s="829">
        <v>51310</v>
      </c>
      <c r="D18" s="830" t="s">
        <v>266</v>
      </c>
      <c r="E18" s="831">
        <v>3897</v>
      </c>
      <c r="F18" s="832">
        <v>5614.97</v>
      </c>
      <c r="G18" s="832">
        <v>8165.84</v>
      </c>
      <c r="H18" s="832">
        <v>10354.64</v>
      </c>
      <c r="I18" s="832">
        <v>5877.45</v>
      </c>
      <c r="J18" s="833">
        <f t="shared" si="0"/>
        <v>33909.9</v>
      </c>
      <c r="K18" s="718">
        <f t="shared" si="1"/>
        <v>6.8303553084364699E-2</v>
      </c>
      <c r="L18" s="834">
        <f t="shared" si="2"/>
        <v>6830355.3084364701</v>
      </c>
      <c r="N18" s="755"/>
    </row>
    <row r="19" spans="1:14" x14ac:dyDescent="0.25">
      <c r="A19" s="797" t="s">
        <v>267</v>
      </c>
      <c r="B19" s="828" t="s">
        <v>25</v>
      </c>
      <c r="C19" s="829">
        <v>52900</v>
      </c>
      <c r="D19" s="830" t="s">
        <v>268</v>
      </c>
      <c r="E19" s="831">
        <v>6900.04</v>
      </c>
      <c r="F19" s="832">
        <v>7771.52</v>
      </c>
      <c r="G19" s="832">
        <v>7112.44</v>
      </c>
      <c r="H19" s="832">
        <v>7258.83</v>
      </c>
      <c r="I19" s="832">
        <v>9182.42</v>
      </c>
      <c r="J19" s="833">
        <f t="shared" si="0"/>
        <v>38225.25</v>
      </c>
      <c r="K19" s="718">
        <f t="shared" si="1"/>
        <v>7.6995815161298373E-2</v>
      </c>
      <c r="L19" s="834">
        <f t="shared" si="2"/>
        <v>7699581.5161298374</v>
      </c>
      <c r="N19" s="755"/>
    </row>
    <row r="20" spans="1:14" x14ac:dyDescent="0.25">
      <c r="A20" s="797" t="s">
        <v>269</v>
      </c>
      <c r="B20" s="828" t="s">
        <v>26</v>
      </c>
      <c r="C20" s="829">
        <v>53900</v>
      </c>
      <c r="D20" s="830" t="s">
        <v>268</v>
      </c>
      <c r="E20" s="835">
        <v>12701.95</v>
      </c>
      <c r="F20" s="836">
        <v>12300.02</v>
      </c>
      <c r="G20" s="836">
        <v>10062.65</v>
      </c>
      <c r="H20" s="836">
        <v>14989.2</v>
      </c>
      <c r="I20" s="836">
        <v>14162.19</v>
      </c>
      <c r="J20" s="837">
        <f t="shared" si="0"/>
        <v>64216.010000000009</v>
      </c>
      <c r="K20" s="838">
        <f t="shared" si="1"/>
        <v>0.12934811509031566</v>
      </c>
      <c r="L20" s="839">
        <f t="shared" si="2"/>
        <v>12934811.509031566</v>
      </c>
      <c r="N20" s="755"/>
    </row>
    <row r="21" spans="1:14" x14ac:dyDescent="0.25">
      <c r="A21" s="802" t="s">
        <v>270</v>
      </c>
      <c r="B21" s="840" t="s">
        <v>27</v>
      </c>
      <c r="C21" s="841">
        <v>54510</v>
      </c>
      <c r="D21" s="842" t="s">
        <v>264</v>
      </c>
      <c r="E21" s="835">
        <v>10899.43</v>
      </c>
      <c r="F21" s="836">
        <v>7304.3</v>
      </c>
      <c r="G21" s="836">
        <v>7166.85</v>
      </c>
      <c r="H21" s="836">
        <v>6971.75</v>
      </c>
      <c r="I21" s="836">
        <v>5557</v>
      </c>
      <c r="J21" s="837">
        <f t="shared" si="0"/>
        <v>37899.33</v>
      </c>
      <c r="K21" s="838">
        <f t="shared" si="1"/>
        <v>7.6339325639912109E-2</v>
      </c>
      <c r="L21" s="839">
        <f t="shared" si="2"/>
        <v>7633932.5639912114</v>
      </c>
      <c r="N21" s="755"/>
    </row>
    <row r="22" spans="1:14" ht="15.75" thickBot="1" x14ac:dyDescent="0.3">
      <c r="A22" s="843" t="s">
        <v>270</v>
      </c>
      <c r="B22" s="844" t="s">
        <v>27</v>
      </c>
      <c r="C22" s="845">
        <v>54530</v>
      </c>
      <c r="D22" s="846" t="s">
        <v>265</v>
      </c>
      <c r="E22" s="835">
        <v>5632.86</v>
      </c>
      <c r="F22" s="836">
        <v>5164.8999999999996</v>
      </c>
      <c r="G22" s="836">
        <v>5731.6</v>
      </c>
      <c r="H22" s="836">
        <v>3945.8</v>
      </c>
      <c r="I22" s="836">
        <v>4260.8</v>
      </c>
      <c r="J22" s="837">
        <f t="shared" si="0"/>
        <v>24735.96</v>
      </c>
      <c r="K22" s="838">
        <f t="shared" si="1"/>
        <v>4.9824799157553452E-2</v>
      </c>
      <c r="L22" s="839">
        <f t="shared" si="2"/>
        <v>4982479.9157553455</v>
      </c>
      <c r="N22" s="755"/>
    </row>
    <row r="23" spans="1:14" ht="15.75" thickBot="1" x14ac:dyDescent="0.3">
      <c r="A23" s="1121" t="s">
        <v>143</v>
      </c>
      <c r="B23" s="1122"/>
      <c r="C23" s="1122"/>
      <c r="D23" s="1123"/>
      <c r="E23" s="847">
        <f t="shared" ref="E23:L23" si="3">SUM(E7:E22)</f>
        <v>96781.439999999988</v>
      </c>
      <c r="F23" s="848">
        <f t="shared" si="3"/>
        <v>96340.86</v>
      </c>
      <c r="G23" s="848">
        <f t="shared" si="3"/>
        <v>97879.280000000013</v>
      </c>
      <c r="H23" s="848">
        <f t="shared" si="3"/>
        <v>98485.28</v>
      </c>
      <c r="I23" s="848">
        <f t="shared" si="3"/>
        <v>106971.94</v>
      </c>
      <c r="J23" s="849">
        <f t="shared" si="3"/>
        <v>496458.80000000005</v>
      </c>
      <c r="K23" s="850">
        <f t="shared" si="3"/>
        <v>0.99999999999999978</v>
      </c>
      <c r="L23" s="851">
        <f t="shared" si="3"/>
        <v>99999999.999999985</v>
      </c>
    </row>
    <row r="25" spans="1:14" x14ac:dyDescent="0.25">
      <c r="A25" s="41" t="s">
        <v>311</v>
      </c>
    </row>
  </sheetData>
  <mergeCells count="5">
    <mergeCell ref="A1:E1"/>
    <mergeCell ref="E5:J5"/>
    <mergeCell ref="K5:K6"/>
    <mergeCell ref="L5:L6"/>
    <mergeCell ref="A23:D23"/>
  </mergeCells>
  <hyperlinks>
    <hyperlink ref="A25" location="'0 Seznam'!A1" display="Seznam"/>
  </hyperlinks>
  <pageMargins left="0.70866141732283472" right="0.70866141732283472" top="0.78740157480314965" bottom="0.78740157480314965" header="0.31496062992125984" footer="0.31496062992125984"/>
  <pageSetup paperSize="9" scale="66" orientation="landscape" r:id="rId1"/>
  <headerFooter>
    <oddHeader xml:space="preserve">&amp;LČ. j. MSMT-1753/2020-1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39"/>
  <sheetViews>
    <sheetView zoomScale="85" zoomScaleNormal="85" workbookViewId="0">
      <selection activeCell="G3" sqref="G3"/>
    </sheetView>
  </sheetViews>
  <sheetFormatPr defaultRowHeight="15" x14ac:dyDescent="0.25"/>
  <cols>
    <col min="1" max="1" width="11.140625" style="43" customWidth="1"/>
    <col min="2" max="2" width="61.85546875" style="43" customWidth="1"/>
    <col min="3" max="5" width="15.7109375" style="43" customWidth="1"/>
    <col min="6" max="6" width="9.140625" style="43"/>
    <col min="7" max="7" width="14.5703125" style="43" customWidth="1"/>
    <col min="8" max="16384" width="9.140625" style="43"/>
  </cols>
  <sheetData>
    <row r="1" spans="1:7" ht="27.75" customHeight="1" x14ac:dyDescent="0.25">
      <c r="A1" s="1120" t="s">
        <v>178</v>
      </c>
      <c r="B1" s="1120"/>
      <c r="C1" s="1120"/>
      <c r="D1" s="1120"/>
      <c r="E1" s="1120"/>
    </row>
    <row r="2" spans="1:7" ht="15.75" x14ac:dyDescent="0.25">
      <c r="A2" s="586"/>
      <c r="B2" s="586"/>
      <c r="C2" s="586"/>
      <c r="D2" s="586"/>
      <c r="E2" s="586"/>
    </row>
    <row r="3" spans="1:7" ht="47.25" customHeight="1" x14ac:dyDescent="0.25">
      <c r="A3" s="1130" t="s">
        <v>179</v>
      </c>
      <c r="B3" s="1130"/>
      <c r="C3" s="1130"/>
      <c r="D3" s="1130"/>
      <c r="E3" s="1130"/>
    </row>
    <row r="4" spans="1:7" x14ac:dyDescent="0.25">
      <c r="A4" s="587"/>
      <c r="B4" s="587"/>
      <c r="C4" s="587"/>
      <c r="D4" s="587"/>
      <c r="E4" s="587"/>
    </row>
    <row r="5" spans="1:7" x14ac:dyDescent="0.25">
      <c r="A5" s="588" t="s">
        <v>180</v>
      </c>
      <c r="B5" s="589"/>
      <c r="C5" s="589"/>
      <c r="D5" s="590"/>
      <c r="E5" s="591">
        <v>22000000</v>
      </c>
    </row>
    <row r="6" spans="1:7" x14ac:dyDescent="0.25">
      <c r="A6" s="588" t="s">
        <v>181</v>
      </c>
      <c r="B6" s="589"/>
      <c r="C6" s="589"/>
      <c r="D6" s="590"/>
      <c r="E6" s="592">
        <f>E5/D37</f>
        <v>20.894526595180285</v>
      </c>
    </row>
    <row r="7" spans="1:7" x14ac:dyDescent="0.25">
      <c r="A7" s="593"/>
      <c r="B7" s="593"/>
      <c r="C7" s="593"/>
      <c r="D7" s="593"/>
      <c r="E7" s="594"/>
    </row>
    <row r="8" spans="1:7" ht="15.75" thickBot="1" x14ac:dyDescent="0.3">
      <c r="A8" s="595"/>
      <c r="B8" s="595"/>
      <c r="C8" s="595"/>
      <c r="D8" s="595"/>
      <c r="E8" s="596" t="s">
        <v>0</v>
      </c>
    </row>
    <row r="9" spans="1:7" x14ac:dyDescent="0.25">
      <c r="A9" s="1131" t="s">
        <v>2</v>
      </c>
      <c r="B9" s="1133" t="s">
        <v>3</v>
      </c>
      <c r="C9" s="1135" t="s">
        <v>182</v>
      </c>
      <c r="D9" s="1136"/>
      <c r="E9" s="1137" t="s">
        <v>185</v>
      </c>
    </row>
    <row r="10" spans="1:7" ht="45.75" thickBot="1" x14ac:dyDescent="0.3">
      <c r="A10" s="1132"/>
      <c r="B10" s="1134"/>
      <c r="C10" s="597" t="s">
        <v>183</v>
      </c>
      <c r="D10" s="598" t="s">
        <v>184</v>
      </c>
      <c r="E10" s="1138"/>
    </row>
    <row r="11" spans="1:7" x14ac:dyDescent="0.25">
      <c r="A11" s="599">
        <v>11000</v>
      </c>
      <c r="B11" s="600" t="s">
        <v>4</v>
      </c>
      <c r="C11" s="601">
        <v>8448</v>
      </c>
      <c r="D11" s="602">
        <v>198984</v>
      </c>
      <c r="E11" s="603">
        <f>ROUND(E$5/D$37*D11,-3)</f>
        <v>4158000</v>
      </c>
      <c r="G11" s="12"/>
    </row>
    <row r="12" spans="1:7" x14ac:dyDescent="0.25">
      <c r="A12" s="604">
        <v>12000</v>
      </c>
      <c r="B12" s="605" t="s">
        <v>5</v>
      </c>
      <c r="C12" s="606">
        <v>1566</v>
      </c>
      <c r="D12" s="607">
        <v>44084.7</v>
      </c>
      <c r="E12" s="603">
        <f t="shared" ref="E12:E36" si="0">ROUND(E$5/D$37*D12,-3)</f>
        <v>921000</v>
      </c>
      <c r="G12" s="12"/>
    </row>
    <row r="13" spans="1:7" x14ac:dyDescent="0.25">
      <c r="A13" s="604">
        <v>13000</v>
      </c>
      <c r="B13" s="605" t="s">
        <v>6</v>
      </c>
      <c r="C13" s="606">
        <v>2833</v>
      </c>
      <c r="D13" s="607">
        <v>49696.3</v>
      </c>
      <c r="E13" s="603">
        <f t="shared" si="0"/>
        <v>1038000</v>
      </c>
      <c r="G13" s="12"/>
    </row>
    <row r="14" spans="1:7" x14ac:dyDescent="0.25">
      <c r="A14" s="604">
        <v>14000</v>
      </c>
      <c r="B14" s="605" t="s">
        <v>7</v>
      </c>
      <c r="C14" s="606">
        <v>5608</v>
      </c>
      <c r="D14" s="607">
        <v>72275</v>
      </c>
      <c r="E14" s="603">
        <f>ROUND(E$5/D$37*D14,-3)</f>
        <v>1510000</v>
      </c>
      <c r="G14" s="12"/>
    </row>
    <row r="15" spans="1:7" x14ac:dyDescent="0.25">
      <c r="A15" s="604">
        <v>15000</v>
      </c>
      <c r="B15" s="605" t="s">
        <v>8</v>
      </c>
      <c r="C15" s="606">
        <v>2336</v>
      </c>
      <c r="D15" s="607">
        <v>37347.9</v>
      </c>
      <c r="E15" s="603">
        <f t="shared" si="0"/>
        <v>780000</v>
      </c>
      <c r="G15" s="12"/>
    </row>
    <row r="16" spans="1:7" x14ac:dyDescent="0.25">
      <c r="A16" s="604">
        <v>16000</v>
      </c>
      <c r="B16" s="605" t="s">
        <v>9</v>
      </c>
      <c r="C16" s="606">
        <v>569</v>
      </c>
      <c r="D16" s="607">
        <v>6705.44</v>
      </c>
      <c r="E16" s="603">
        <f>ROUND(E$5/D$37*D16,-3)</f>
        <v>140000</v>
      </c>
      <c r="G16" s="12"/>
    </row>
    <row r="17" spans="1:7" x14ac:dyDescent="0.25">
      <c r="A17" s="604">
        <v>17000</v>
      </c>
      <c r="B17" s="605" t="s">
        <v>10</v>
      </c>
      <c r="C17" s="606">
        <v>2074</v>
      </c>
      <c r="D17" s="607">
        <v>50711.3</v>
      </c>
      <c r="E17" s="603">
        <f t="shared" si="0"/>
        <v>1060000</v>
      </c>
      <c r="G17" s="12"/>
    </row>
    <row r="18" spans="1:7" x14ac:dyDescent="0.25">
      <c r="A18" s="604">
        <v>18000</v>
      </c>
      <c r="B18" s="605" t="s">
        <v>11</v>
      </c>
      <c r="C18" s="606">
        <v>1759</v>
      </c>
      <c r="D18" s="607">
        <v>29336.9</v>
      </c>
      <c r="E18" s="603">
        <f t="shared" si="0"/>
        <v>613000</v>
      </c>
      <c r="G18" s="12"/>
    </row>
    <row r="19" spans="1:7" x14ac:dyDescent="0.25">
      <c r="A19" s="604">
        <v>19000</v>
      </c>
      <c r="B19" s="605" t="s">
        <v>12</v>
      </c>
      <c r="C19" s="606">
        <v>743</v>
      </c>
      <c r="D19" s="607">
        <v>29396.5</v>
      </c>
      <c r="E19" s="603">
        <f t="shared" si="0"/>
        <v>614000</v>
      </c>
      <c r="G19" s="12"/>
    </row>
    <row r="20" spans="1:7" x14ac:dyDescent="0.25">
      <c r="A20" s="604">
        <v>21000</v>
      </c>
      <c r="B20" s="605" t="s">
        <v>13</v>
      </c>
      <c r="C20" s="606">
        <v>1696</v>
      </c>
      <c r="D20" s="607">
        <v>54631.9</v>
      </c>
      <c r="E20" s="603">
        <f>ROUND(E$5/D$37*D20,-3)</f>
        <v>1142000</v>
      </c>
      <c r="G20" s="12"/>
    </row>
    <row r="21" spans="1:7" x14ac:dyDescent="0.25">
      <c r="A21" s="604">
        <v>22000</v>
      </c>
      <c r="B21" s="605" t="s">
        <v>14</v>
      </c>
      <c r="C21" s="606">
        <v>414</v>
      </c>
      <c r="D21" s="607">
        <v>13144.6</v>
      </c>
      <c r="E21" s="603">
        <f t="shared" si="0"/>
        <v>275000</v>
      </c>
      <c r="G21" s="12"/>
    </row>
    <row r="22" spans="1:7" x14ac:dyDescent="0.25">
      <c r="A22" s="604">
        <v>23000</v>
      </c>
      <c r="B22" s="605" t="s">
        <v>15</v>
      </c>
      <c r="C22" s="606">
        <v>4779</v>
      </c>
      <c r="D22" s="607">
        <v>78159.5</v>
      </c>
      <c r="E22" s="603">
        <f t="shared" si="0"/>
        <v>1633000</v>
      </c>
      <c r="G22" s="12"/>
    </row>
    <row r="23" spans="1:7" x14ac:dyDescent="0.25">
      <c r="A23" s="604">
        <v>24000</v>
      </c>
      <c r="B23" s="605" t="s">
        <v>16</v>
      </c>
      <c r="C23" s="606">
        <v>1559</v>
      </c>
      <c r="D23" s="607">
        <v>47578.8</v>
      </c>
      <c r="E23" s="603">
        <f t="shared" si="0"/>
        <v>994000</v>
      </c>
      <c r="G23" s="12"/>
    </row>
    <row r="24" spans="1:7" x14ac:dyDescent="0.25">
      <c r="A24" s="604">
        <v>25000</v>
      </c>
      <c r="B24" s="605" t="s">
        <v>17</v>
      </c>
      <c r="C24" s="606">
        <v>788</v>
      </c>
      <c r="D24" s="607">
        <v>16695.599999999999</v>
      </c>
      <c r="E24" s="603">
        <f t="shared" si="0"/>
        <v>349000</v>
      </c>
      <c r="G24" s="12"/>
    </row>
    <row r="25" spans="1:7" x14ac:dyDescent="0.25">
      <c r="A25" s="604">
        <v>26000</v>
      </c>
      <c r="B25" s="605" t="s">
        <v>18</v>
      </c>
      <c r="C25" s="606">
        <v>2909</v>
      </c>
      <c r="D25" s="607">
        <v>49688.6</v>
      </c>
      <c r="E25" s="603">
        <f t="shared" si="0"/>
        <v>1038000</v>
      </c>
      <c r="G25" s="12"/>
    </row>
    <row r="26" spans="1:7" x14ac:dyDescent="0.25">
      <c r="A26" s="604">
        <v>27000</v>
      </c>
      <c r="B26" s="605" t="s">
        <v>19</v>
      </c>
      <c r="C26" s="606">
        <v>741</v>
      </c>
      <c r="D26" s="607">
        <v>18191.900000000001</v>
      </c>
      <c r="E26" s="603">
        <f>ROUND(E$5/D$37*D26,-3)</f>
        <v>380000</v>
      </c>
      <c r="G26" s="12"/>
    </row>
    <row r="27" spans="1:7" x14ac:dyDescent="0.25">
      <c r="A27" s="604">
        <v>28000</v>
      </c>
      <c r="B27" s="605" t="s">
        <v>20</v>
      </c>
      <c r="C27" s="606">
        <v>895</v>
      </c>
      <c r="D27" s="607">
        <v>26794.2</v>
      </c>
      <c r="E27" s="603">
        <f t="shared" si="0"/>
        <v>560000</v>
      </c>
      <c r="G27" s="12"/>
    </row>
    <row r="28" spans="1:7" x14ac:dyDescent="0.25">
      <c r="A28" s="604">
        <v>31000</v>
      </c>
      <c r="B28" s="605" t="s">
        <v>21</v>
      </c>
      <c r="C28" s="606">
        <v>3886</v>
      </c>
      <c r="D28" s="607">
        <v>90545.1</v>
      </c>
      <c r="E28" s="603">
        <f t="shared" si="0"/>
        <v>1892000</v>
      </c>
      <c r="G28" s="12"/>
    </row>
    <row r="29" spans="1:7" x14ac:dyDescent="0.25">
      <c r="A29" s="604">
        <v>41000</v>
      </c>
      <c r="B29" s="605" t="s">
        <v>22</v>
      </c>
      <c r="C29" s="606">
        <v>13405</v>
      </c>
      <c r="D29" s="607">
        <v>38717.599999999999</v>
      </c>
      <c r="E29" s="603">
        <f t="shared" si="0"/>
        <v>809000</v>
      </c>
      <c r="G29" s="12"/>
    </row>
    <row r="30" spans="1:7" x14ac:dyDescent="0.25">
      <c r="A30" s="604">
        <v>43000</v>
      </c>
      <c r="B30" s="605" t="s">
        <v>23</v>
      </c>
      <c r="C30" s="606">
        <v>1434</v>
      </c>
      <c r="D30" s="607">
        <v>65705.399999999994</v>
      </c>
      <c r="E30" s="603">
        <f>ROUND(E$5/D$37*D30,-3)</f>
        <v>1373000</v>
      </c>
      <c r="G30" s="12"/>
    </row>
    <row r="31" spans="1:7" x14ac:dyDescent="0.25">
      <c r="A31" s="604">
        <v>51000</v>
      </c>
      <c r="B31" s="605" t="s">
        <v>24</v>
      </c>
      <c r="C31" s="608">
        <v>0</v>
      </c>
      <c r="D31" s="609">
        <v>0</v>
      </c>
      <c r="E31" s="610">
        <f t="shared" si="0"/>
        <v>0</v>
      </c>
      <c r="G31" s="12"/>
    </row>
    <row r="32" spans="1:7" x14ac:dyDescent="0.25">
      <c r="A32" s="604">
        <v>52000</v>
      </c>
      <c r="B32" s="605" t="s">
        <v>25</v>
      </c>
      <c r="C32" s="608">
        <v>0</v>
      </c>
      <c r="D32" s="609">
        <v>0</v>
      </c>
      <c r="E32" s="610">
        <f t="shared" si="0"/>
        <v>0</v>
      </c>
      <c r="G32" s="12"/>
    </row>
    <row r="33" spans="1:7" x14ac:dyDescent="0.25">
      <c r="A33" s="604">
        <v>53000</v>
      </c>
      <c r="B33" s="605" t="s">
        <v>26</v>
      </c>
      <c r="C33" s="608">
        <v>0</v>
      </c>
      <c r="D33" s="609">
        <v>0</v>
      </c>
      <c r="E33" s="610">
        <f t="shared" si="0"/>
        <v>0</v>
      </c>
      <c r="G33" s="12"/>
    </row>
    <row r="34" spans="1:7" x14ac:dyDescent="0.25">
      <c r="A34" s="604">
        <v>54000</v>
      </c>
      <c r="B34" s="605" t="s">
        <v>27</v>
      </c>
      <c r="C34" s="608">
        <v>347</v>
      </c>
      <c r="D34" s="609">
        <v>7470.48</v>
      </c>
      <c r="E34" s="603">
        <f t="shared" si="0"/>
        <v>156000</v>
      </c>
      <c r="G34" s="12"/>
    </row>
    <row r="35" spans="1:7" x14ac:dyDescent="0.25">
      <c r="A35" s="604">
        <v>55000</v>
      </c>
      <c r="B35" s="605" t="s">
        <v>28</v>
      </c>
      <c r="C35" s="606">
        <v>1049</v>
      </c>
      <c r="D35" s="607">
        <v>27045.599999999999</v>
      </c>
      <c r="E35" s="603">
        <f t="shared" si="0"/>
        <v>565000</v>
      </c>
      <c r="G35" s="12"/>
    </row>
    <row r="36" spans="1:7" ht="15.75" thickBot="1" x14ac:dyDescent="0.3">
      <c r="A36" s="611">
        <v>56000</v>
      </c>
      <c r="B36" s="612" t="s">
        <v>29</v>
      </c>
      <c r="C36" s="613">
        <v>0</v>
      </c>
      <c r="D36" s="614">
        <v>0</v>
      </c>
      <c r="E36" s="610">
        <f t="shared" si="0"/>
        <v>0</v>
      </c>
      <c r="G36" s="12"/>
    </row>
    <row r="37" spans="1:7" ht="15.75" thickBot="1" x14ac:dyDescent="0.3">
      <c r="A37" s="1128" t="s">
        <v>30</v>
      </c>
      <c r="B37" s="1129"/>
      <c r="C37" s="615">
        <f>SUM(C11:C36)</f>
        <v>59838</v>
      </c>
      <c r="D37" s="616">
        <f>SUM(D11:D36)</f>
        <v>1052907.32</v>
      </c>
      <c r="E37" s="617">
        <f>SUM(E11:E36)</f>
        <v>22000000</v>
      </c>
    </row>
    <row r="39" spans="1:7" x14ac:dyDescent="0.25">
      <c r="A39" s="41" t="s">
        <v>311</v>
      </c>
    </row>
  </sheetData>
  <mergeCells count="7">
    <mergeCell ref="A1:E1"/>
    <mergeCell ref="A37:B37"/>
    <mergeCell ref="A3:E3"/>
    <mergeCell ref="A9:A10"/>
    <mergeCell ref="B9:B10"/>
    <mergeCell ref="C9:D9"/>
    <mergeCell ref="E9:E10"/>
  </mergeCells>
  <hyperlinks>
    <hyperlink ref="A39" location="'0 Seznam'!A1" display="Seznam"/>
  </hyperlinks>
  <pageMargins left="0.70866141732283472" right="0.70866141732283472" top="0.78740157480314965" bottom="0.78740157480314965" header="0.31496062992125984" footer="0.31496062992125984"/>
  <pageSetup paperSize="9" scale="66" orientation="landscape" r:id="rId1"/>
  <headerFooter>
    <oddHeader xml:space="preserve">&amp;LČ. j. MSMT-1753/2020-1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41"/>
  <sheetViews>
    <sheetView zoomScale="85" zoomScaleNormal="85" workbookViewId="0">
      <selection activeCell="I4" sqref="I4"/>
    </sheetView>
  </sheetViews>
  <sheetFormatPr defaultRowHeight="15" x14ac:dyDescent="0.25"/>
  <cols>
    <col min="1" max="1" width="10.85546875" style="43" customWidth="1"/>
    <col min="2" max="2" width="58.5703125" style="43" customWidth="1"/>
    <col min="3" max="5" width="15.7109375" style="43" customWidth="1"/>
    <col min="6" max="6" width="9.140625" style="43"/>
    <col min="7" max="7" width="18.28515625" style="43" customWidth="1"/>
    <col min="8" max="16384" width="9.140625" style="43"/>
  </cols>
  <sheetData>
    <row r="1" spans="1:10" ht="27.75" customHeight="1" x14ac:dyDescent="0.25">
      <c r="A1" s="1120" t="s">
        <v>186</v>
      </c>
      <c r="B1" s="1120"/>
      <c r="C1" s="1120"/>
      <c r="D1" s="1120"/>
      <c r="E1" s="1120"/>
    </row>
    <row r="2" spans="1:10" ht="15.75" x14ac:dyDescent="0.25">
      <c r="A2" s="586"/>
      <c r="B2" s="586"/>
      <c r="C2" s="586"/>
      <c r="D2" s="586"/>
      <c r="E2" s="586"/>
    </row>
    <row r="3" spans="1:10" ht="48" customHeight="1" x14ac:dyDescent="0.25">
      <c r="A3" s="1130" t="s">
        <v>191</v>
      </c>
      <c r="B3" s="1130"/>
      <c r="C3" s="1130"/>
      <c r="D3" s="1130"/>
      <c r="E3" s="1130"/>
    </row>
    <row r="4" spans="1:10" x14ac:dyDescent="0.25">
      <c r="A4" s="618"/>
      <c r="B4" s="618"/>
      <c r="C4" s="618"/>
      <c r="D4" s="618"/>
      <c r="E4" s="618"/>
    </row>
    <row r="5" spans="1:10" x14ac:dyDescent="0.25">
      <c r="A5" s="619" t="s">
        <v>187</v>
      </c>
      <c r="B5" s="620"/>
      <c r="C5" s="620"/>
      <c r="D5" s="621"/>
      <c r="E5" s="622">
        <v>86690000</v>
      </c>
    </row>
    <row r="6" spans="1:10" x14ac:dyDescent="0.25">
      <c r="A6" s="619" t="s">
        <v>188</v>
      </c>
      <c r="B6" s="620"/>
      <c r="C6" s="620"/>
      <c r="D6" s="621"/>
      <c r="E6" s="623">
        <f>E37/D37</f>
        <v>0.83710209526586854</v>
      </c>
    </row>
    <row r="7" spans="1:10" ht="27.75" x14ac:dyDescent="0.25">
      <c r="A7" s="624"/>
      <c r="B7" s="625"/>
      <c r="C7" s="624"/>
      <c r="D7" s="626"/>
      <c r="E7" s="627"/>
    </row>
    <row r="8" spans="1:10" ht="15.75" thickBot="1" x14ac:dyDescent="0.3">
      <c r="A8" s="628"/>
      <c r="B8" s="627"/>
      <c r="C8" s="627"/>
      <c r="D8" s="627"/>
      <c r="E8" s="629"/>
    </row>
    <row r="9" spans="1:10" x14ac:dyDescent="0.25">
      <c r="A9" s="1139" t="s">
        <v>2</v>
      </c>
      <c r="B9" s="1141" t="s">
        <v>3</v>
      </c>
      <c r="C9" s="1143" t="s">
        <v>182</v>
      </c>
      <c r="D9" s="1144"/>
      <c r="E9" s="1145" t="s">
        <v>193</v>
      </c>
    </row>
    <row r="10" spans="1:10" ht="45.75" thickBot="1" x14ac:dyDescent="0.3">
      <c r="A10" s="1140"/>
      <c r="B10" s="1142"/>
      <c r="C10" s="630" t="s">
        <v>189</v>
      </c>
      <c r="D10" s="631" t="s">
        <v>190</v>
      </c>
      <c r="E10" s="1146"/>
    </row>
    <row r="11" spans="1:10" x14ac:dyDescent="0.25">
      <c r="A11" s="632">
        <v>11000</v>
      </c>
      <c r="B11" s="633" t="s">
        <v>4</v>
      </c>
      <c r="C11" s="634">
        <v>579</v>
      </c>
      <c r="D11" s="635">
        <v>24699250</v>
      </c>
      <c r="E11" s="636">
        <f>ROUND(+D11/$D$37*$E$5,-3)</f>
        <v>20676000</v>
      </c>
      <c r="G11" s="755"/>
      <c r="J11" s="12"/>
    </row>
    <row r="12" spans="1:10" x14ac:dyDescent="0.25">
      <c r="A12" s="637">
        <v>12000</v>
      </c>
      <c r="B12" s="638" t="s">
        <v>5</v>
      </c>
      <c r="C12" s="639">
        <v>109</v>
      </c>
      <c r="D12" s="640">
        <v>3820200</v>
      </c>
      <c r="E12" s="641">
        <f t="shared" ref="E12:E36" si="0">ROUND(+D12/$D$37*$E$5,-3)</f>
        <v>3198000</v>
      </c>
      <c r="G12" s="755"/>
    </row>
    <row r="13" spans="1:10" x14ac:dyDescent="0.25">
      <c r="A13" s="637">
        <v>13000</v>
      </c>
      <c r="B13" s="638" t="s">
        <v>6</v>
      </c>
      <c r="C13" s="639">
        <v>74</v>
      </c>
      <c r="D13" s="640">
        <v>2969000</v>
      </c>
      <c r="E13" s="641">
        <f t="shared" si="0"/>
        <v>2485000</v>
      </c>
      <c r="G13" s="755"/>
    </row>
    <row r="14" spans="1:10" x14ac:dyDescent="0.25">
      <c r="A14" s="637">
        <v>14000</v>
      </c>
      <c r="B14" s="638" t="s">
        <v>7</v>
      </c>
      <c r="C14" s="639">
        <v>428</v>
      </c>
      <c r="D14" s="640">
        <v>18810950</v>
      </c>
      <c r="E14" s="641">
        <f>ROUND(+D14/$D$37*$E$5,-3)</f>
        <v>15747000</v>
      </c>
      <c r="G14" s="755"/>
    </row>
    <row r="15" spans="1:10" x14ac:dyDescent="0.25">
      <c r="A15" s="637">
        <v>15000</v>
      </c>
      <c r="B15" s="638" t="s">
        <v>8</v>
      </c>
      <c r="C15" s="639">
        <v>216</v>
      </c>
      <c r="D15" s="640">
        <v>11625600</v>
      </c>
      <c r="E15" s="641">
        <f t="shared" si="0"/>
        <v>9732000</v>
      </c>
      <c r="G15" s="755"/>
    </row>
    <row r="16" spans="1:10" x14ac:dyDescent="0.25">
      <c r="A16" s="637">
        <v>16000</v>
      </c>
      <c r="B16" s="638" t="s">
        <v>9</v>
      </c>
      <c r="C16" s="639">
        <v>0</v>
      </c>
      <c r="D16" s="640">
        <v>0</v>
      </c>
      <c r="E16" s="641">
        <f t="shared" si="0"/>
        <v>0</v>
      </c>
      <c r="G16" s="755"/>
    </row>
    <row r="17" spans="1:7" x14ac:dyDescent="0.25">
      <c r="A17" s="637">
        <v>17000</v>
      </c>
      <c r="B17" s="638" t="s">
        <v>10</v>
      </c>
      <c r="C17" s="639">
        <v>83</v>
      </c>
      <c r="D17" s="640">
        <v>3302900</v>
      </c>
      <c r="E17" s="641">
        <f t="shared" si="0"/>
        <v>2765000</v>
      </c>
      <c r="G17" s="755"/>
    </row>
    <row r="18" spans="1:7" x14ac:dyDescent="0.25">
      <c r="A18" s="637">
        <v>18000</v>
      </c>
      <c r="B18" s="638" t="s">
        <v>11</v>
      </c>
      <c r="C18" s="639">
        <v>83</v>
      </c>
      <c r="D18" s="640">
        <v>2790050</v>
      </c>
      <c r="E18" s="641">
        <f>ROUND(+D18/$D$37*$E$5-100,-3)</f>
        <v>2335000</v>
      </c>
      <c r="G18" s="755"/>
    </row>
    <row r="19" spans="1:7" x14ac:dyDescent="0.25">
      <c r="A19" s="637">
        <v>19000</v>
      </c>
      <c r="B19" s="638" t="s">
        <v>12</v>
      </c>
      <c r="C19" s="639">
        <v>33</v>
      </c>
      <c r="D19" s="640">
        <v>1401300</v>
      </c>
      <c r="E19" s="641">
        <f t="shared" si="0"/>
        <v>1173000</v>
      </c>
      <c r="G19" s="755"/>
    </row>
    <row r="20" spans="1:7" x14ac:dyDescent="0.25">
      <c r="A20" s="637">
        <v>21000</v>
      </c>
      <c r="B20" s="638" t="s">
        <v>13</v>
      </c>
      <c r="C20" s="639">
        <v>89</v>
      </c>
      <c r="D20" s="640">
        <v>2758000</v>
      </c>
      <c r="E20" s="641">
        <f t="shared" si="0"/>
        <v>2309000</v>
      </c>
      <c r="G20" s="755"/>
    </row>
    <row r="21" spans="1:7" x14ac:dyDescent="0.25">
      <c r="A21" s="637">
        <v>22000</v>
      </c>
      <c r="B21" s="638" t="s">
        <v>14</v>
      </c>
      <c r="C21" s="639">
        <v>29</v>
      </c>
      <c r="D21" s="640">
        <v>1085000</v>
      </c>
      <c r="E21" s="641">
        <f t="shared" si="0"/>
        <v>908000</v>
      </c>
      <c r="G21" s="755"/>
    </row>
    <row r="22" spans="1:7" x14ac:dyDescent="0.25">
      <c r="A22" s="637">
        <v>23000</v>
      </c>
      <c r="B22" s="638" t="s">
        <v>15</v>
      </c>
      <c r="C22" s="639">
        <v>129</v>
      </c>
      <c r="D22" s="640">
        <v>3541800</v>
      </c>
      <c r="E22" s="641">
        <f t="shared" si="0"/>
        <v>2965000</v>
      </c>
      <c r="G22" s="755"/>
    </row>
    <row r="23" spans="1:7" x14ac:dyDescent="0.25">
      <c r="A23" s="637">
        <v>24000</v>
      </c>
      <c r="B23" s="638" t="s">
        <v>16</v>
      </c>
      <c r="C23" s="639">
        <v>53</v>
      </c>
      <c r="D23" s="640">
        <v>2556000</v>
      </c>
      <c r="E23" s="641">
        <f t="shared" si="0"/>
        <v>2140000</v>
      </c>
      <c r="G23" s="755"/>
    </row>
    <row r="24" spans="1:7" x14ac:dyDescent="0.25">
      <c r="A24" s="637">
        <v>25000</v>
      </c>
      <c r="B24" s="638" t="s">
        <v>17</v>
      </c>
      <c r="C24" s="639">
        <v>87</v>
      </c>
      <c r="D24" s="640">
        <v>4334500</v>
      </c>
      <c r="E24" s="641">
        <f t="shared" si="0"/>
        <v>3628000</v>
      </c>
      <c r="G24" s="755"/>
    </row>
    <row r="25" spans="1:7" x14ac:dyDescent="0.25">
      <c r="A25" s="637">
        <v>26000</v>
      </c>
      <c r="B25" s="638" t="s">
        <v>18</v>
      </c>
      <c r="C25" s="639">
        <v>182</v>
      </c>
      <c r="D25" s="640">
        <v>4528400</v>
      </c>
      <c r="E25" s="641">
        <f t="shared" si="0"/>
        <v>3791000</v>
      </c>
      <c r="G25" s="755"/>
    </row>
    <row r="26" spans="1:7" x14ac:dyDescent="0.25">
      <c r="A26" s="637">
        <v>27000</v>
      </c>
      <c r="B26" s="638" t="s">
        <v>19</v>
      </c>
      <c r="C26" s="639">
        <v>53</v>
      </c>
      <c r="D26" s="640">
        <v>1501000</v>
      </c>
      <c r="E26" s="641">
        <f t="shared" si="0"/>
        <v>1256000</v>
      </c>
      <c r="G26" s="755"/>
    </row>
    <row r="27" spans="1:7" x14ac:dyDescent="0.25">
      <c r="A27" s="637">
        <v>28000</v>
      </c>
      <c r="B27" s="638" t="s">
        <v>20</v>
      </c>
      <c r="C27" s="639">
        <v>74</v>
      </c>
      <c r="D27" s="640">
        <v>3497700</v>
      </c>
      <c r="E27" s="641">
        <f t="shared" si="0"/>
        <v>2928000</v>
      </c>
      <c r="G27" s="755"/>
    </row>
    <row r="28" spans="1:7" x14ac:dyDescent="0.25">
      <c r="A28" s="637">
        <v>31000</v>
      </c>
      <c r="B28" s="638" t="s">
        <v>21</v>
      </c>
      <c r="C28" s="639">
        <v>69</v>
      </c>
      <c r="D28" s="640">
        <v>1865000</v>
      </c>
      <c r="E28" s="641">
        <f t="shared" si="0"/>
        <v>1561000</v>
      </c>
      <c r="G28" s="755"/>
    </row>
    <row r="29" spans="1:7" x14ac:dyDescent="0.25">
      <c r="A29" s="637">
        <v>41000</v>
      </c>
      <c r="B29" s="638" t="s">
        <v>22</v>
      </c>
      <c r="C29" s="639">
        <v>173</v>
      </c>
      <c r="D29" s="640">
        <v>5432000</v>
      </c>
      <c r="E29" s="641">
        <f t="shared" si="0"/>
        <v>4547000</v>
      </c>
      <c r="G29" s="755"/>
    </row>
    <row r="30" spans="1:7" x14ac:dyDescent="0.25">
      <c r="A30" s="637">
        <v>43000</v>
      </c>
      <c r="B30" s="638" t="s">
        <v>23</v>
      </c>
      <c r="C30" s="639">
        <v>45</v>
      </c>
      <c r="D30" s="640">
        <v>1128000</v>
      </c>
      <c r="E30" s="641">
        <f t="shared" si="0"/>
        <v>944000</v>
      </c>
      <c r="G30" s="755"/>
    </row>
    <row r="31" spans="1:7" x14ac:dyDescent="0.25">
      <c r="A31" s="637">
        <v>51000</v>
      </c>
      <c r="B31" s="638" t="s">
        <v>24</v>
      </c>
      <c r="C31" s="639">
        <v>0</v>
      </c>
      <c r="D31" s="640">
        <v>0</v>
      </c>
      <c r="E31" s="641">
        <f t="shared" si="0"/>
        <v>0</v>
      </c>
      <c r="G31" s="755"/>
    </row>
    <row r="32" spans="1:7" x14ac:dyDescent="0.25">
      <c r="A32" s="637">
        <v>52000</v>
      </c>
      <c r="B32" s="638" t="s">
        <v>25</v>
      </c>
      <c r="C32" s="639">
        <v>0</v>
      </c>
      <c r="D32" s="640">
        <v>0</v>
      </c>
      <c r="E32" s="641">
        <f t="shared" si="0"/>
        <v>0</v>
      </c>
      <c r="G32" s="755"/>
    </row>
    <row r="33" spans="1:7" x14ac:dyDescent="0.25">
      <c r="A33" s="637">
        <v>53000</v>
      </c>
      <c r="B33" s="638" t="s">
        <v>26</v>
      </c>
      <c r="C33" s="639">
        <v>0</v>
      </c>
      <c r="D33" s="640">
        <v>0</v>
      </c>
      <c r="E33" s="641">
        <f t="shared" si="0"/>
        <v>0</v>
      </c>
      <c r="G33" s="755"/>
    </row>
    <row r="34" spans="1:7" x14ac:dyDescent="0.25">
      <c r="A34" s="637">
        <v>54000</v>
      </c>
      <c r="B34" s="638" t="s">
        <v>27</v>
      </c>
      <c r="C34" s="639">
        <v>3</v>
      </c>
      <c r="D34" s="640">
        <v>370000</v>
      </c>
      <c r="E34" s="641">
        <f t="shared" si="0"/>
        <v>310000</v>
      </c>
      <c r="G34" s="755"/>
    </row>
    <row r="35" spans="1:7" x14ac:dyDescent="0.25">
      <c r="A35" s="637">
        <v>55000</v>
      </c>
      <c r="B35" s="638" t="s">
        <v>28</v>
      </c>
      <c r="C35" s="639">
        <v>24</v>
      </c>
      <c r="D35" s="640">
        <v>847000</v>
      </c>
      <c r="E35" s="641">
        <f t="shared" si="0"/>
        <v>709000</v>
      </c>
      <c r="G35" s="755"/>
    </row>
    <row r="36" spans="1:7" ht="15.75" thickBot="1" x14ac:dyDescent="0.3">
      <c r="A36" s="642">
        <v>56000</v>
      </c>
      <c r="B36" s="643" t="s">
        <v>29</v>
      </c>
      <c r="C36" s="644">
        <v>14</v>
      </c>
      <c r="D36" s="645">
        <v>696000</v>
      </c>
      <c r="E36" s="646">
        <f t="shared" si="0"/>
        <v>583000</v>
      </c>
      <c r="G36" s="755"/>
    </row>
    <row r="37" spans="1:7" ht="15.75" thickBot="1" x14ac:dyDescent="0.3">
      <c r="A37" s="647"/>
      <c r="B37" s="648" t="s">
        <v>30</v>
      </c>
      <c r="C37" s="649">
        <f>SUM(C11:C36)</f>
        <v>2629</v>
      </c>
      <c r="D37" s="650">
        <f>SUM(D11:D36)</f>
        <v>103559650</v>
      </c>
      <c r="E37" s="651">
        <f>SUM(E11:E36)</f>
        <v>86690000</v>
      </c>
    </row>
    <row r="38" spans="1:7" x14ac:dyDescent="0.25">
      <c r="A38" s="652"/>
      <c r="B38" s="652"/>
      <c r="C38" s="653"/>
      <c r="D38" s="654"/>
      <c r="E38" s="654"/>
    </row>
    <row r="39" spans="1:7" x14ac:dyDescent="0.25">
      <c r="A39" s="655"/>
      <c r="B39" s="655" t="s">
        <v>192</v>
      </c>
      <c r="C39" s="655"/>
      <c r="D39" s="655"/>
      <c r="E39" s="655"/>
    </row>
    <row r="40" spans="1:7" x14ac:dyDescent="0.25">
      <c r="A40" s="655"/>
      <c r="B40" s="655"/>
      <c r="C40" s="655"/>
      <c r="D40" s="655"/>
      <c r="E40" s="655"/>
    </row>
    <row r="41" spans="1:7" x14ac:dyDescent="0.25">
      <c r="A41" s="41" t="s">
        <v>311</v>
      </c>
      <c r="B41" s="655"/>
      <c r="C41" s="656"/>
      <c r="D41" s="655"/>
      <c r="E41" s="655"/>
    </row>
  </sheetData>
  <mergeCells count="6">
    <mergeCell ref="A1:E1"/>
    <mergeCell ref="A3:E3"/>
    <mergeCell ref="A9:A10"/>
    <mergeCell ref="B9:B10"/>
    <mergeCell ref="C9:D9"/>
    <mergeCell ref="E9:E10"/>
  </mergeCells>
  <hyperlinks>
    <hyperlink ref="A41" location="'0 Seznam'!A1" display="Seznam"/>
  </hyperlinks>
  <pageMargins left="0.70866141732283472" right="0.70866141732283472" top="0.78740157480314965" bottom="0.78740157480314965" header="0.31496062992125984" footer="0.31496062992125984"/>
  <pageSetup paperSize="9" scale="66" orientation="landscape" r:id="rId1"/>
  <headerFooter>
    <oddHeader xml:space="preserve">&amp;LČ. j. MSMT-1753/2020-1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73"/>
  <sheetViews>
    <sheetView showGridLines="0" zoomScale="70" zoomScaleNormal="70" workbookViewId="0">
      <selection sqref="A1:Q1"/>
    </sheetView>
  </sheetViews>
  <sheetFormatPr defaultRowHeight="15" x14ac:dyDescent="0.25"/>
  <cols>
    <col min="1" max="2" width="4.85546875" style="759" bestFit="1" customWidth="1"/>
    <col min="3" max="3" width="7.28515625" style="759" customWidth="1"/>
    <col min="4" max="4" width="17.140625" style="759" customWidth="1"/>
    <col min="5" max="9" width="23.28515625" style="759" customWidth="1"/>
    <col min="10" max="10" width="21" style="759" customWidth="1"/>
    <col min="11" max="11" width="18.7109375" style="759" customWidth="1"/>
    <col min="12" max="12" width="22.7109375" style="759" customWidth="1"/>
    <col min="13" max="14" width="19.42578125" style="759" customWidth="1"/>
    <col min="15" max="15" width="22.28515625" style="759" customWidth="1"/>
    <col min="16" max="17" width="19.42578125" style="759" customWidth="1"/>
    <col min="18" max="18" width="9.140625" style="759"/>
    <col min="19" max="19" width="18.140625" style="759" customWidth="1"/>
    <col min="20" max="20" width="12" style="759" bestFit="1" customWidth="1"/>
    <col min="21" max="16384" width="9.140625" style="759"/>
  </cols>
  <sheetData>
    <row r="1" spans="1:19" ht="27.75" customHeight="1" x14ac:dyDescent="0.25">
      <c r="A1" s="884" t="s">
        <v>155</v>
      </c>
      <c r="B1" s="884"/>
      <c r="C1" s="884"/>
      <c r="D1" s="884"/>
      <c r="E1" s="884"/>
      <c r="F1" s="884"/>
      <c r="G1" s="884"/>
      <c r="H1" s="884"/>
      <c r="I1" s="884"/>
      <c r="J1" s="884"/>
      <c r="K1" s="884"/>
      <c r="L1" s="884"/>
      <c r="M1" s="884"/>
      <c r="N1" s="884"/>
      <c r="O1" s="884"/>
      <c r="P1" s="884"/>
      <c r="Q1" s="884"/>
    </row>
    <row r="2" spans="1:19" x14ac:dyDescent="0.25">
      <c r="A2" s="44" t="s">
        <v>51</v>
      </c>
      <c r="B2" s="45"/>
      <c r="C2" s="45"/>
      <c r="D2" s="45"/>
      <c r="E2" s="45"/>
      <c r="F2" s="45"/>
      <c r="G2" s="45"/>
      <c r="H2" s="45"/>
      <c r="I2" s="45"/>
      <c r="J2" s="45"/>
      <c r="K2" s="45"/>
      <c r="L2" s="45"/>
      <c r="M2" s="45"/>
      <c r="N2" s="45"/>
      <c r="O2" s="46"/>
      <c r="P2" s="46"/>
      <c r="Q2" s="46"/>
    </row>
    <row r="3" spans="1:19" ht="15.75" thickBot="1" x14ac:dyDescent="0.3">
      <c r="A3" s="46"/>
      <c r="B3" s="46"/>
      <c r="C3" s="45"/>
      <c r="D3" s="45"/>
      <c r="E3" s="45"/>
      <c r="F3" s="45"/>
      <c r="G3" s="45"/>
      <c r="H3" s="45"/>
      <c r="I3" s="45"/>
      <c r="J3" s="47"/>
      <c r="K3" s="47"/>
      <c r="L3" s="48"/>
      <c r="M3" s="47"/>
      <c r="N3" s="49"/>
      <c r="O3" s="46"/>
      <c r="P3" s="50" t="s">
        <v>0</v>
      </c>
      <c r="Q3" s="51"/>
    </row>
    <row r="4" spans="1:19" ht="16.5" thickBot="1" x14ac:dyDescent="0.3">
      <c r="A4" s="890" t="s">
        <v>52</v>
      </c>
      <c r="B4" s="891"/>
      <c r="C4" s="891"/>
      <c r="D4" s="891"/>
      <c r="E4" s="52">
        <v>2017</v>
      </c>
      <c r="F4" s="53">
        <v>2018</v>
      </c>
      <c r="G4" s="54">
        <v>2019</v>
      </c>
      <c r="H4" s="859">
        <v>2020</v>
      </c>
      <c r="I4" s="856"/>
      <c r="J4" s="892" t="s">
        <v>52</v>
      </c>
      <c r="K4" s="893"/>
      <c r="L4" s="52">
        <v>2017</v>
      </c>
      <c r="M4" s="53">
        <v>2018</v>
      </c>
      <c r="N4" s="54">
        <v>2019</v>
      </c>
      <c r="O4" s="55">
        <v>2020</v>
      </c>
      <c r="P4" s="56" t="s">
        <v>53</v>
      </c>
      <c r="Q4" s="51"/>
    </row>
    <row r="5" spans="1:19" x14ac:dyDescent="0.25">
      <c r="A5" s="894" t="s">
        <v>54</v>
      </c>
      <c r="B5" s="895"/>
      <c r="C5" s="895"/>
      <c r="D5" s="896"/>
      <c r="E5" s="57">
        <v>36849</v>
      </c>
      <c r="F5" s="58">
        <v>42880.734818197314</v>
      </c>
      <c r="G5" s="59">
        <v>47126.784863493653</v>
      </c>
      <c r="H5" s="860">
        <v>49174.493920447378</v>
      </c>
      <c r="I5" s="857"/>
      <c r="J5" s="897" t="s">
        <v>56</v>
      </c>
      <c r="K5" s="898"/>
      <c r="L5" s="60">
        <v>90000</v>
      </c>
      <c r="M5" s="60">
        <v>135000</v>
      </c>
      <c r="N5" s="60">
        <v>135000</v>
      </c>
      <c r="O5" s="61">
        <v>135000</v>
      </c>
      <c r="P5" s="62">
        <f>O5/N5-1</f>
        <v>0</v>
      </c>
      <c r="Q5" s="51"/>
    </row>
    <row r="6" spans="1:19" x14ac:dyDescent="0.25">
      <c r="A6" s="885" t="s">
        <v>57</v>
      </c>
      <c r="B6" s="886"/>
      <c r="C6" s="886"/>
      <c r="D6" s="887"/>
      <c r="E6" s="63" t="s">
        <v>55</v>
      </c>
      <c r="F6" s="63" t="s">
        <v>55</v>
      </c>
      <c r="G6" s="64" t="s">
        <v>55</v>
      </c>
      <c r="H6" s="861" t="s">
        <v>55</v>
      </c>
      <c r="I6" s="857"/>
      <c r="J6" s="888" t="s">
        <v>58</v>
      </c>
      <c r="K6" s="889"/>
      <c r="L6" s="60">
        <v>5400.0266777715606</v>
      </c>
      <c r="M6" s="60">
        <v>5400.0266777715606</v>
      </c>
      <c r="N6" s="60">
        <v>5400.0266777715606</v>
      </c>
      <c r="O6" s="66">
        <v>5400</v>
      </c>
      <c r="P6" s="65">
        <f>O6/N6-1</f>
        <v>-4.9403036600503825E-6</v>
      </c>
      <c r="Q6" s="51"/>
    </row>
    <row r="7" spans="1:19" ht="15.75" thickBot="1" x14ac:dyDescent="0.3">
      <c r="A7" s="915" t="s">
        <v>59</v>
      </c>
      <c r="B7" s="916"/>
      <c r="C7" s="916"/>
      <c r="D7" s="916"/>
      <c r="E7" s="67" t="s">
        <v>55</v>
      </c>
      <c r="F7" s="68" t="s">
        <v>55</v>
      </c>
      <c r="G7" s="69" t="s">
        <v>55</v>
      </c>
      <c r="H7" s="862" t="s">
        <v>55</v>
      </c>
      <c r="I7" s="858"/>
      <c r="J7" s="888" t="s">
        <v>203</v>
      </c>
      <c r="K7" s="889"/>
      <c r="L7" s="60">
        <v>2750</v>
      </c>
      <c r="M7" s="60">
        <v>3050</v>
      </c>
      <c r="N7" s="60">
        <v>3340</v>
      </c>
      <c r="O7" s="66">
        <v>3650</v>
      </c>
      <c r="P7" s="65">
        <f>O7/N7-1</f>
        <v>9.2814371257484929E-2</v>
      </c>
      <c r="Q7" s="70"/>
    </row>
    <row r="8" spans="1:19" ht="15.75" thickBot="1" x14ac:dyDescent="0.3">
      <c r="A8" s="917"/>
      <c r="B8" s="917"/>
      <c r="C8" s="917"/>
      <c r="D8" s="917"/>
      <c r="E8" s="917"/>
      <c r="F8" s="917"/>
      <c r="G8" s="917"/>
      <c r="H8" s="917"/>
      <c r="I8" s="756"/>
      <c r="J8" s="918" t="s">
        <v>60</v>
      </c>
      <c r="K8" s="919"/>
      <c r="L8" s="71">
        <v>17.95</v>
      </c>
      <c r="M8" s="71">
        <v>17.95</v>
      </c>
      <c r="N8" s="71">
        <v>17.95</v>
      </c>
      <c r="O8" s="72">
        <v>17.95</v>
      </c>
      <c r="P8" s="73">
        <f>O8/N8-1</f>
        <v>0</v>
      </c>
    </row>
    <row r="9" spans="1:19" ht="15.75" thickBot="1" x14ac:dyDescent="0.3">
      <c r="A9" s="920"/>
      <c r="B9" s="920"/>
      <c r="C9" s="920"/>
      <c r="D9" s="920"/>
      <c r="E9" s="920"/>
      <c r="F9" s="920"/>
      <c r="G9" s="920"/>
      <c r="H9" s="920"/>
      <c r="I9" s="920"/>
      <c r="J9" s="74"/>
      <c r="K9" s="74"/>
      <c r="L9" s="74"/>
      <c r="M9" s="74"/>
      <c r="N9" s="74"/>
      <c r="O9" s="46"/>
      <c r="P9" s="46"/>
      <c r="Q9" s="50" t="s">
        <v>0</v>
      </c>
    </row>
    <row r="10" spans="1:19" x14ac:dyDescent="0.25">
      <c r="A10" s="899" t="s">
        <v>204</v>
      </c>
      <c r="B10" s="901" t="s">
        <v>205</v>
      </c>
      <c r="C10" s="903" t="s">
        <v>61</v>
      </c>
      <c r="D10" s="904"/>
      <c r="E10" s="904"/>
      <c r="F10" s="904"/>
      <c r="G10" s="905"/>
      <c r="H10" s="912" t="s">
        <v>62</v>
      </c>
      <c r="I10" s="912" t="s">
        <v>65</v>
      </c>
      <c r="J10" s="923" t="s">
        <v>63</v>
      </c>
      <c r="K10" s="926" t="s">
        <v>64</v>
      </c>
      <c r="L10" s="929" t="s">
        <v>68</v>
      </c>
      <c r="M10" s="932" t="s">
        <v>66</v>
      </c>
      <c r="N10" s="947" t="s">
        <v>67</v>
      </c>
      <c r="O10" s="950" t="s">
        <v>106</v>
      </c>
      <c r="P10" s="935" t="s">
        <v>69</v>
      </c>
      <c r="Q10" s="938" t="s">
        <v>70</v>
      </c>
    </row>
    <row r="11" spans="1:19" x14ac:dyDescent="0.25">
      <c r="A11" s="900"/>
      <c r="B11" s="902"/>
      <c r="C11" s="906"/>
      <c r="D11" s="907"/>
      <c r="E11" s="907"/>
      <c r="F11" s="907"/>
      <c r="G11" s="908"/>
      <c r="H11" s="913"/>
      <c r="I11" s="913"/>
      <c r="J11" s="924"/>
      <c r="K11" s="927"/>
      <c r="L11" s="930"/>
      <c r="M11" s="933"/>
      <c r="N11" s="948"/>
      <c r="O11" s="951"/>
      <c r="P11" s="936"/>
      <c r="Q11" s="939"/>
    </row>
    <row r="12" spans="1:19" ht="15.75" thickBot="1" x14ac:dyDescent="0.3">
      <c r="A12" s="900"/>
      <c r="B12" s="902"/>
      <c r="C12" s="909"/>
      <c r="D12" s="910"/>
      <c r="E12" s="910"/>
      <c r="F12" s="910"/>
      <c r="G12" s="911"/>
      <c r="H12" s="914"/>
      <c r="I12" s="914"/>
      <c r="J12" s="925"/>
      <c r="K12" s="928"/>
      <c r="L12" s="931"/>
      <c r="M12" s="934"/>
      <c r="N12" s="949"/>
      <c r="O12" s="952"/>
      <c r="P12" s="937"/>
      <c r="Q12" s="940"/>
    </row>
    <row r="13" spans="1:19" ht="15.75" thickBot="1" x14ac:dyDescent="0.3">
      <c r="A13" s="75"/>
      <c r="B13" s="76"/>
      <c r="C13" s="941">
        <v>1</v>
      </c>
      <c r="D13" s="942"/>
      <c r="E13" s="942"/>
      <c r="F13" s="942"/>
      <c r="G13" s="942"/>
      <c r="H13" s="77">
        <v>2</v>
      </c>
      <c r="I13" s="77">
        <v>3</v>
      </c>
      <c r="J13" s="78">
        <v>4</v>
      </c>
      <c r="K13" s="79">
        <v>5</v>
      </c>
      <c r="L13" s="80">
        <v>6</v>
      </c>
      <c r="M13" s="78">
        <v>7</v>
      </c>
      <c r="N13" s="81">
        <v>8</v>
      </c>
      <c r="O13" s="82">
        <v>9</v>
      </c>
      <c r="P13" s="78">
        <v>10</v>
      </c>
      <c r="Q13" s="81">
        <v>11</v>
      </c>
    </row>
    <row r="14" spans="1:19" x14ac:dyDescent="0.25">
      <c r="A14" s="83"/>
      <c r="B14" s="84"/>
      <c r="C14" s="85"/>
      <c r="D14" s="47"/>
      <c r="E14" s="47"/>
      <c r="F14" s="47"/>
      <c r="G14" s="47"/>
      <c r="H14" s="86"/>
      <c r="I14" s="86"/>
      <c r="J14" s="87"/>
      <c r="K14" s="88"/>
      <c r="L14" s="89"/>
      <c r="M14" s="87"/>
      <c r="N14" s="90"/>
      <c r="O14" s="91"/>
      <c r="P14" s="87"/>
      <c r="Q14" s="90"/>
    </row>
    <row r="15" spans="1:19" ht="15.75" thickBot="1" x14ac:dyDescent="0.3">
      <c r="A15" s="83"/>
      <c r="B15" s="84"/>
      <c r="C15" s="92" t="s">
        <v>71</v>
      </c>
      <c r="D15" s="47"/>
      <c r="E15" s="47"/>
      <c r="F15" s="47"/>
      <c r="G15" s="47"/>
      <c r="H15" s="86"/>
      <c r="I15" s="86"/>
      <c r="J15" s="87"/>
      <c r="K15" s="88"/>
      <c r="L15" s="93"/>
      <c r="M15" s="87"/>
      <c r="N15" s="90"/>
      <c r="O15" s="94"/>
      <c r="P15" s="87"/>
      <c r="Q15" s="90"/>
    </row>
    <row r="16" spans="1:19" x14ac:dyDescent="0.25">
      <c r="A16" s="95" t="s">
        <v>72</v>
      </c>
      <c r="B16" s="96"/>
      <c r="C16" s="943" t="s">
        <v>44</v>
      </c>
      <c r="D16" s="944"/>
      <c r="E16" s="944"/>
      <c r="F16" s="944"/>
      <c r="G16" s="944"/>
      <c r="H16" s="97">
        <v>14567420908.800001</v>
      </c>
      <c r="I16" s="97">
        <v>15067420909</v>
      </c>
      <c r="J16" s="98">
        <f>I16/$I$56</f>
        <v>0.74795364591406444</v>
      </c>
      <c r="K16" s="99">
        <f>I16/H16-1</f>
        <v>3.4323165598788563E-2</v>
      </c>
      <c r="L16" s="100">
        <v>16063835573.712</v>
      </c>
      <c r="M16" s="98">
        <f>L16/$L$56</f>
        <v>0.66252294489709518</v>
      </c>
      <c r="N16" s="101">
        <f>L16/I16-1</f>
        <v>6.6130406174345735E-2</v>
      </c>
      <c r="O16" s="102">
        <v>16795401074</v>
      </c>
      <c r="P16" s="98">
        <f>O16/$O$56</f>
        <v>0.66835505368188097</v>
      </c>
      <c r="Q16" s="101">
        <f>O16/L16-1</f>
        <v>4.5541147189354092E-2</v>
      </c>
      <c r="S16" s="12"/>
    </row>
    <row r="17" spans="1:19" x14ac:dyDescent="0.25">
      <c r="A17" s="103" t="s">
        <v>72</v>
      </c>
      <c r="B17" s="104"/>
      <c r="C17" s="945" t="s">
        <v>45</v>
      </c>
      <c r="D17" s="946"/>
      <c r="E17" s="946"/>
      <c r="F17" s="946"/>
      <c r="G17" s="946"/>
      <c r="H17" s="105">
        <v>1618602323.2</v>
      </c>
      <c r="I17" s="105">
        <v>3118602323</v>
      </c>
      <c r="J17" s="106">
        <f>I17/$I$56</f>
        <v>0.15480884165455558</v>
      </c>
      <c r="K17" s="107">
        <f>I17/H17-1</f>
        <v>0.92672547067304234</v>
      </c>
      <c r="L17" s="108">
        <v>3325223658.2880001</v>
      </c>
      <c r="M17" s="106">
        <f>L17/$L$56</f>
        <v>0.13714264942649587</v>
      </c>
      <c r="N17" s="109">
        <f>L17/I17-1</f>
        <v>6.6254467190044464E-2</v>
      </c>
      <c r="O17" s="110">
        <v>3476658158</v>
      </c>
      <c r="P17" s="106">
        <f>O17/$O$56</f>
        <v>0.13834989945079293</v>
      </c>
      <c r="Q17" s="109">
        <f>O17/L17-1</f>
        <v>4.5541147084814826E-2</v>
      </c>
      <c r="S17" s="12"/>
    </row>
    <row r="18" spans="1:19" ht="15.75" thickBot="1" x14ac:dyDescent="0.3">
      <c r="A18" s="111" t="s">
        <v>72</v>
      </c>
      <c r="B18" s="112"/>
      <c r="C18" s="757" t="s">
        <v>1</v>
      </c>
      <c r="D18" s="758"/>
      <c r="E18" s="758"/>
      <c r="F18" s="758"/>
      <c r="G18" s="758"/>
      <c r="H18" s="113"/>
      <c r="I18" s="113"/>
      <c r="J18" s="114"/>
      <c r="K18" s="115"/>
      <c r="L18" s="116">
        <v>615000000</v>
      </c>
      <c r="M18" s="114"/>
      <c r="N18" s="117"/>
      <c r="O18" s="118">
        <v>706800000</v>
      </c>
      <c r="P18" s="114">
        <f>O18/$O$56</f>
        <v>2.8126351366127161E-2</v>
      </c>
      <c r="Q18" s="117">
        <f>O18/L18-1</f>
        <v>0.14926829268292674</v>
      </c>
      <c r="S18" s="12"/>
    </row>
    <row r="19" spans="1:19" ht="15.75" thickBot="1" x14ac:dyDescent="0.3">
      <c r="A19" s="119"/>
      <c r="B19" s="120"/>
      <c r="C19" s="921" t="s">
        <v>73</v>
      </c>
      <c r="D19" s="922"/>
      <c r="E19" s="922"/>
      <c r="F19" s="922"/>
      <c r="G19" s="922"/>
      <c r="H19" s="121">
        <f>SUM(H16:H18)</f>
        <v>16186023232.000002</v>
      </c>
      <c r="I19" s="121">
        <f>SUM(I16:I18)</f>
        <v>18186023232</v>
      </c>
      <c r="J19" s="122">
        <f>I19/$I$56</f>
        <v>0.90276248756861999</v>
      </c>
      <c r="K19" s="123">
        <f>I19/H19-1</f>
        <v>0.12356339610621392</v>
      </c>
      <c r="L19" s="124">
        <f>SUM(L16:L18)</f>
        <v>20004059232</v>
      </c>
      <c r="M19" s="122">
        <f>L19/$L$57</f>
        <v>0.82503012256729991</v>
      </c>
      <c r="N19" s="125">
        <f>L19/I19-1</f>
        <v>9.9968859426122103E-2</v>
      </c>
      <c r="O19" s="126">
        <f>SUM(O16:O18)</f>
        <v>20978859232</v>
      </c>
      <c r="P19" s="122">
        <f>O19/$O$56</f>
        <v>0.83483130449880105</v>
      </c>
      <c r="Q19" s="125">
        <f>O19/L19-1</f>
        <v>4.8730109658975396E-2</v>
      </c>
      <c r="S19" s="12"/>
    </row>
    <row r="20" spans="1:19" x14ac:dyDescent="0.25">
      <c r="A20" s="83"/>
      <c r="B20" s="84"/>
      <c r="C20" s="85"/>
      <c r="D20" s="47"/>
      <c r="E20" s="47"/>
      <c r="F20" s="47"/>
      <c r="G20" s="47"/>
      <c r="H20" s="127"/>
      <c r="I20" s="127"/>
      <c r="J20" s="128"/>
      <c r="K20" s="129"/>
      <c r="L20" s="130"/>
      <c r="M20" s="128"/>
      <c r="N20" s="131"/>
      <c r="O20" s="132"/>
      <c r="P20" s="128"/>
      <c r="Q20" s="131"/>
    </row>
    <row r="21" spans="1:19" ht="15.75" thickBot="1" x14ac:dyDescent="0.3">
      <c r="A21" s="83"/>
      <c r="B21" s="84"/>
      <c r="C21" s="85" t="s">
        <v>74</v>
      </c>
      <c r="D21" s="47"/>
      <c r="E21" s="47"/>
      <c r="F21" s="47"/>
      <c r="G21" s="47"/>
      <c r="H21" s="127"/>
      <c r="I21" s="127"/>
      <c r="J21" s="133"/>
      <c r="K21" s="133"/>
      <c r="L21" s="130"/>
      <c r="M21" s="133"/>
      <c r="N21" s="134"/>
      <c r="O21" s="132"/>
      <c r="P21" s="133"/>
      <c r="Q21" s="134"/>
    </row>
    <row r="22" spans="1:19" x14ac:dyDescent="0.25">
      <c r="A22" s="95" t="s">
        <v>72</v>
      </c>
      <c r="B22" s="96"/>
      <c r="C22" s="958" t="s">
        <v>75</v>
      </c>
      <c r="D22" s="959"/>
      <c r="E22" s="959"/>
      <c r="F22" s="959"/>
      <c r="G22" s="959"/>
      <c r="H22" s="135">
        <v>1013220000</v>
      </c>
      <c r="I22" s="135">
        <v>1436000000</v>
      </c>
      <c r="J22" s="136">
        <f t="shared" ref="J22:J28" si="0">I22/$I$56</f>
        <v>7.1283694934880543E-2</v>
      </c>
      <c r="K22" s="137">
        <f t="shared" ref="K22:K28" si="1">I22/H22-1</f>
        <v>0.41726377292197148</v>
      </c>
      <c r="L22" s="138">
        <v>1421820000</v>
      </c>
      <c r="M22" s="136">
        <f t="shared" ref="M22:M27" si="2">L22/$L$56</f>
        <v>5.8640314711333602E-2</v>
      </c>
      <c r="N22" s="139">
        <f t="shared" ref="N22:N28" si="3">L22/I22-1</f>
        <v>-9.8746518105850001E-3</v>
      </c>
      <c r="O22" s="140">
        <f>L22+41310000</f>
        <v>1463130000</v>
      </c>
      <c r="P22" s="136">
        <f t="shared" ref="P22:P28" si="4">O22/$O$56</f>
        <v>5.8223696200228686E-2</v>
      </c>
      <c r="Q22" s="139">
        <f t="shared" ref="Q22:Q28" si="5">O22/L22-1</f>
        <v>2.905431067223696E-2</v>
      </c>
      <c r="S22" s="12"/>
    </row>
    <row r="23" spans="1:19" x14ac:dyDescent="0.25">
      <c r="A23" s="141"/>
      <c r="B23" s="142" t="s">
        <v>76</v>
      </c>
      <c r="C23" s="960" t="s">
        <v>77</v>
      </c>
      <c r="D23" s="961"/>
      <c r="E23" s="961"/>
      <c r="F23" s="961"/>
      <c r="G23" s="961"/>
      <c r="H23" s="143">
        <v>135000000</v>
      </c>
      <c r="I23" s="143">
        <v>135000000</v>
      </c>
      <c r="J23" s="144">
        <f t="shared" si="0"/>
        <v>6.7014615711760957E-3</v>
      </c>
      <c r="K23" s="145">
        <f t="shared" si="1"/>
        <v>0</v>
      </c>
      <c r="L23" s="146">
        <v>120000000</v>
      </c>
      <c r="M23" s="144">
        <f t="shared" si="2"/>
        <v>4.9491762426749041E-3</v>
      </c>
      <c r="N23" s="147">
        <f t="shared" si="3"/>
        <v>-0.11111111111111116</v>
      </c>
      <c r="O23" s="148">
        <v>120000000</v>
      </c>
      <c r="P23" s="144">
        <f t="shared" si="4"/>
        <v>4.7752718787991786E-3</v>
      </c>
      <c r="Q23" s="147">
        <f t="shared" si="5"/>
        <v>0</v>
      </c>
      <c r="S23" s="12"/>
    </row>
    <row r="24" spans="1:19" x14ac:dyDescent="0.25">
      <c r="A24" s="141" t="s">
        <v>72</v>
      </c>
      <c r="B24" s="142"/>
      <c r="C24" s="960" t="s">
        <v>78</v>
      </c>
      <c r="D24" s="961"/>
      <c r="E24" s="961"/>
      <c r="F24" s="961"/>
      <c r="G24" s="961"/>
      <c r="H24" s="143">
        <v>55000000</v>
      </c>
      <c r="I24" s="143">
        <v>50000000</v>
      </c>
      <c r="J24" s="144">
        <f t="shared" si="0"/>
        <v>2.4820228041392946E-3</v>
      </c>
      <c r="K24" s="145">
        <f t="shared" si="1"/>
        <v>-9.0909090909090939E-2</v>
      </c>
      <c r="L24" s="146">
        <v>28553400</v>
      </c>
      <c r="M24" s="144">
        <f t="shared" si="2"/>
        <v>1.1776317410632801E-3</v>
      </c>
      <c r="N24" s="147">
        <f t="shared" si="3"/>
        <v>-0.42893199999999998</v>
      </c>
      <c r="O24" s="148">
        <f>L24-8553400</f>
        <v>20000000</v>
      </c>
      <c r="P24" s="144">
        <f t="shared" si="4"/>
        <v>7.9587864646652969E-4</v>
      </c>
      <c r="Q24" s="147">
        <f t="shared" si="5"/>
        <v>-0.29955802111132124</v>
      </c>
      <c r="S24" s="12"/>
    </row>
    <row r="25" spans="1:19" x14ac:dyDescent="0.25">
      <c r="A25" s="141"/>
      <c r="B25" s="142" t="s">
        <v>76</v>
      </c>
      <c r="C25" s="960" t="s">
        <v>217</v>
      </c>
      <c r="D25" s="961"/>
      <c r="E25" s="961"/>
      <c r="F25" s="961"/>
      <c r="G25" s="961"/>
      <c r="H25" s="143">
        <v>2000000</v>
      </c>
      <c r="I25" s="143">
        <v>2000000</v>
      </c>
      <c r="J25" s="144">
        <f t="shared" si="0"/>
        <v>9.9280912165571793E-5</v>
      </c>
      <c r="K25" s="145">
        <f t="shared" si="1"/>
        <v>0</v>
      </c>
      <c r="L25" s="146">
        <v>2000000</v>
      </c>
      <c r="M25" s="144">
        <f t="shared" si="2"/>
        <v>8.2486270711248404E-5</v>
      </c>
      <c r="N25" s="147">
        <f t="shared" si="3"/>
        <v>0</v>
      </c>
      <c r="O25" s="148">
        <v>2000000</v>
      </c>
      <c r="P25" s="144">
        <f t="shared" si="4"/>
        <v>7.9587864646652978E-5</v>
      </c>
      <c r="Q25" s="147">
        <f t="shared" si="5"/>
        <v>0</v>
      </c>
      <c r="S25" s="12"/>
    </row>
    <row r="26" spans="1:19" x14ac:dyDescent="0.25">
      <c r="A26" s="141" t="s">
        <v>72</v>
      </c>
      <c r="B26" s="142"/>
      <c r="C26" s="960" t="s">
        <v>79</v>
      </c>
      <c r="D26" s="961"/>
      <c r="E26" s="961"/>
      <c r="F26" s="961"/>
      <c r="G26" s="961"/>
      <c r="H26" s="143">
        <v>699456600</v>
      </c>
      <c r="I26" s="143">
        <v>678310200</v>
      </c>
      <c r="J26" s="144">
        <f t="shared" si="0"/>
        <v>3.3671627693605717E-2</v>
      </c>
      <c r="K26" s="145">
        <f t="shared" si="1"/>
        <v>-3.0232612001945491E-2</v>
      </c>
      <c r="L26" s="146">
        <v>664626600</v>
      </c>
      <c r="M26" s="144">
        <f t="shared" si="2"/>
        <v>2.7411284824748302E-2</v>
      </c>
      <c r="N26" s="147">
        <f t="shared" si="3"/>
        <v>-2.0173071258548059E-2</v>
      </c>
      <c r="O26" s="148">
        <f>L26+10157400</f>
        <v>674784000</v>
      </c>
      <c r="P26" s="144">
        <f t="shared" si="4"/>
        <v>2.6852308828863539E-2</v>
      </c>
      <c r="Q26" s="147">
        <f t="shared" si="5"/>
        <v>1.5282867101617637E-2</v>
      </c>
      <c r="S26" s="12"/>
    </row>
    <row r="27" spans="1:19" ht="15.75" thickBot="1" x14ac:dyDescent="0.3">
      <c r="A27" s="111"/>
      <c r="B27" s="149" t="s">
        <v>76</v>
      </c>
      <c r="C27" s="962" t="s">
        <v>216</v>
      </c>
      <c r="D27" s="963"/>
      <c r="E27" s="963"/>
      <c r="F27" s="963"/>
      <c r="G27" s="963"/>
      <c r="H27" s="150">
        <v>44000000</v>
      </c>
      <c r="I27" s="150">
        <v>42000000</v>
      </c>
      <c r="J27" s="151">
        <f t="shared" si="0"/>
        <v>2.0848991554770074E-3</v>
      </c>
      <c r="K27" s="115">
        <f t="shared" si="1"/>
        <v>-4.5454545454545414E-2</v>
      </c>
      <c r="L27" s="152">
        <v>30000000</v>
      </c>
      <c r="M27" s="151">
        <f t="shared" si="2"/>
        <v>1.237294060668726E-3</v>
      </c>
      <c r="N27" s="153">
        <f t="shared" si="3"/>
        <v>-0.2857142857142857</v>
      </c>
      <c r="O27" s="154">
        <v>25000000</v>
      </c>
      <c r="P27" s="151">
        <f t="shared" si="4"/>
        <v>9.9484830808316228E-4</v>
      </c>
      <c r="Q27" s="153">
        <f t="shared" si="5"/>
        <v>-0.16666666666666663</v>
      </c>
      <c r="S27" s="12"/>
    </row>
    <row r="28" spans="1:19" ht="15.75" thickBot="1" x14ac:dyDescent="0.3">
      <c r="A28" s="119"/>
      <c r="B28" s="120"/>
      <c r="C28" s="921" t="s">
        <v>80</v>
      </c>
      <c r="D28" s="922"/>
      <c r="E28" s="922"/>
      <c r="F28" s="922"/>
      <c r="G28" s="922"/>
      <c r="H28" s="121">
        <f>SUM(H22:H27)</f>
        <v>1948676600</v>
      </c>
      <c r="I28" s="121">
        <f>SUM(I22:I27)</f>
        <v>2343310200</v>
      </c>
      <c r="J28" s="122">
        <f t="shared" si="0"/>
        <v>0.11632298707144423</v>
      </c>
      <c r="K28" s="123">
        <f t="shared" si="1"/>
        <v>0.20251364438819652</v>
      </c>
      <c r="L28" s="124">
        <f>SUM(L22:L27)</f>
        <v>2267000000</v>
      </c>
      <c r="M28" s="122">
        <f>L28/$L$57</f>
        <v>9.3498187851200065E-2</v>
      </c>
      <c r="N28" s="125">
        <f t="shared" si="3"/>
        <v>-3.2565129448077323E-2</v>
      </c>
      <c r="O28" s="126">
        <f>SUM(O22:O27)</f>
        <v>2304914000</v>
      </c>
      <c r="P28" s="122">
        <f t="shared" si="4"/>
        <v>9.1721591727087742E-2</v>
      </c>
      <c r="Q28" s="125">
        <f t="shared" si="5"/>
        <v>1.6724305249228077E-2</v>
      </c>
      <c r="S28" s="12"/>
    </row>
    <row r="29" spans="1:19" x14ac:dyDescent="0.25">
      <c r="A29" s="83"/>
      <c r="B29" s="84"/>
      <c r="C29" s="85"/>
      <c r="D29" s="47"/>
      <c r="E29" s="47"/>
      <c r="F29" s="47"/>
      <c r="G29" s="47"/>
      <c r="H29" s="127"/>
      <c r="I29" s="127"/>
      <c r="J29" s="128"/>
      <c r="K29" s="133"/>
      <c r="L29" s="130"/>
      <c r="M29" s="128"/>
      <c r="N29" s="134"/>
      <c r="O29" s="132"/>
      <c r="P29" s="128"/>
      <c r="Q29" s="134"/>
    </row>
    <row r="30" spans="1:19" x14ac:dyDescent="0.25">
      <c r="A30" s="83"/>
      <c r="B30" s="84"/>
      <c r="C30" s="92" t="s">
        <v>81</v>
      </c>
      <c r="D30" s="47"/>
      <c r="E30" s="47"/>
      <c r="F30" s="47"/>
      <c r="G30" s="47"/>
      <c r="H30" s="127"/>
      <c r="I30" s="127"/>
      <c r="J30" s="133"/>
      <c r="K30" s="133"/>
      <c r="L30" s="130"/>
      <c r="M30" s="133"/>
      <c r="N30" s="134"/>
      <c r="O30" s="132"/>
      <c r="P30" s="133"/>
      <c r="Q30" s="134"/>
    </row>
    <row r="31" spans="1:19" x14ac:dyDescent="0.25">
      <c r="A31" s="103" t="s">
        <v>72</v>
      </c>
      <c r="B31" s="155" t="s">
        <v>76</v>
      </c>
      <c r="C31" s="960" t="s">
        <v>82</v>
      </c>
      <c r="D31" s="961"/>
      <c r="E31" s="961"/>
      <c r="F31" s="961"/>
      <c r="G31" s="961"/>
      <c r="H31" s="143">
        <f>SUM(H32:H34)</f>
        <v>1150000000</v>
      </c>
      <c r="I31" s="143">
        <f>SUM(I32:I34)</f>
        <v>1185000000</v>
      </c>
      <c r="J31" s="144">
        <f>I31/$I$56</f>
        <v>5.8823940458101284E-2</v>
      </c>
      <c r="K31" s="145">
        <f>I31/H31-1</f>
        <v>3.0434782608695699E-2</v>
      </c>
      <c r="L31" s="146">
        <f>SUM(L32:L34)</f>
        <v>1235000000</v>
      </c>
      <c r="M31" s="144">
        <f>L31/$L$56</f>
        <v>5.093527216419589E-2</v>
      </c>
      <c r="N31" s="156">
        <f>L31/I31-1</f>
        <v>4.2194092827004148E-2</v>
      </c>
      <c r="O31" s="148">
        <f>SUM(O32:O34)</f>
        <v>1195000000</v>
      </c>
      <c r="P31" s="144">
        <f>O31/$O$56</f>
        <v>4.7553749126375153E-2</v>
      </c>
      <c r="Q31" s="156">
        <f>O31/L31-1</f>
        <v>-3.2388663967611309E-2</v>
      </c>
    </row>
    <row r="32" spans="1:19" x14ac:dyDescent="0.25">
      <c r="A32" s="141" t="s">
        <v>72</v>
      </c>
      <c r="B32" s="142"/>
      <c r="C32" s="155" t="s">
        <v>206</v>
      </c>
      <c r="D32" s="157" t="s">
        <v>83</v>
      </c>
      <c r="E32" s="84"/>
      <c r="F32" s="84"/>
      <c r="G32" s="84"/>
      <c r="H32" s="158">
        <v>1035000000</v>
      </c>
      <c r="I32" s="158">
        <v>1035000000</v>
      </c>
      <c r="J32" s="144">
        <f>I32/$I$56</f>
        <v>5.13778720456834E-2</v>
      </c>
      <c r="K32" s="145">
        <f>I32/H32-1</f>
        <v>0</v>
      </c>
      <c r="L32" s="159">
        <v>1035000000</v>
      </c>
      <c r="M32" s="144">
        <f>L32/$L$56</f>
        <v>4.2686645093071046E-2</v>
      </c>
      <c r="N32" s="156">
        <f>L32/I32-1</f>
        <v>0</v>
      </c>
      <c r="O32" s="160">
        <v>1035000000</v>
      </c>
      <c r="P32" s="144">
        <f>O32/$O$56</f>
        <v>4.1186719954642917E-2</v>
      </c>
      <c r="Q32" s="156">
        <f>O32/L32-1</f>
        <v>0</v>
      </c>
    </row>
    <row r="33" spans="1:19" x14ac:dyDescent="0.25">
      <c r="A33" s="141"/>
      <c r="B33" s="142" t="s">
        <v>76</v>
      </c>
      <c r="C33" s="161"/>
      <c r="D33" s="162" t="s">
        <v>84</v>
      </c>
      <c r="E33" s="163"/>
      <c r="F33" s="163"/>
      <c r="G33" s="164"/>
      <c r="H33" s="165">
        <v>115000000</v>
      </c>
      <c r="I33" s="166">
        <v>150000000</v>
      </c>
      <c r="J33" s="144">
        <f>I33/$I$56</f>
        <v>7.4460684124178847E-3</v>
      </c>
      <c r="K33" s="145">
        <f>I33/H33-1</f>
        <v>0.30434782608695654</v>
      </c>
      <c r="L33" s="167">
        <v>150000000</v>
      </c>
      <c r="M33" s="144">
        <f>L33/$L$56</f>
        <v>6.1864703033436301E-3</v>
      </c>
      <c r="N33" s="156">
        <f>L33/I33-1</f>
        <v>0</v>
      </c>
      <c r="O33" s="168">
        <v>160000000</v>
      </c>
      <c r="P33" s="144">
        <f>O33/$O$56</f>
        <v>6.3670291717322375E-3</v>
      </c>
      <c r="Q33" s="156">
        <f>O33/L33-1</f>
        <v>6.6666666666666652E-2</v>
      </c>
      <c r="S33" s="12"/>
    </row>
    <row r="34" spans="1:19" x14ac:dyDescent="0.25">
      <c r="A34" s="141"/>
      <c r="B34" s="142" t="s">
        <v>76</v>
      </c>
      <c r="C34" s="169"/>
      <c r="D34" s="162" t="s">
        <v>85</v>
      </c>
      <c r="E34" s="163"/>
      <c r="F34" s="163"/>
      <c r="G34" s="164"/>
      <c r="H34" s="165"/>
      <c r="I34" s="166"/>
      <c r="J34" s="144"/>
      <c r="K34" s="145"/>
      <c r="L34" s="167">
        <v>50000000</v>
      </c>
      <c r="M34" s="144"/>
      <c r="N34" s="156"/>
      <c r="O34" s="168"/>
      <c r="P34" s="144"/>
      <c r="Q34" s="156"/>
      <c r="S34" s="12"/>
    </row>
    <row r="35" spans="1:19" ht="15.75" thickBot="1" x14ac:dyDescent="0.3">
      <c r="A35" s="119"/>
      <c r="B35" s="120"/>
      <c r="C35" s="964" t="s">
        <v>86</v>
      </c>
      <c r="D35" s="965"/>
      <c r="E35" s="965"/>
      <c r="F35" s="965"/>
      <c r="G35" s="965"/>
      <c r="H35" s="121">
        <f>SUM(H31)</f>
        <v>1150000000</v>
      </c>
      <c r="I35" s="121">
        <f>SUM(I31)</f>
        <v>1185000000</v>
      </c>
      <c r="J35" s="122">
        <f>I35/$I$56</f>
        <v>5.8823940458101284E-2</v>
      </c>
      <c r="K35" s="123">
        <f>I35/H35-1</f>
        <v>3.0434782608695699E-2</v>
      </c>
      <c r="L35" s="124">
        <f>SUM(L31)</f>
        <v>1235000000</v>
      </c>
      <c r="M35" s="122">
        <f>L35/$L$57</f>
        <v>5.093527216419589E-2</v>
      </c>
      <c r="N35" s="125">
        <f>L35/I35-1</f>
        <v>4.2194092827004148E-2</v>
      </c>
      <c r="O35" s="126">
        <f>SUM(O31)</f>
        <v>1195000000</v>
      </c>
      <c r="P35" s="122">
        <f>O35/$O$56</f>
        <v>4.7553749126375153E-2</v>
      </c>
      <c r="Q35" s="125">
        <f>O35/L35-1</f>
        <v>-3.2388663967611309E-2</v>
      </c>
      <c r="S35" s="12"/>
    </row>
    <row r="36" spans="1:19" x14ac:dyDescent="0.25">
      <c r="A36" s="83"/>
      <c r="B36" s="84"/>
      <c r="C36" s="85"/>
      <c r="D36" s="47"/>
      <c r="E36" s="47"/>
      <c r="F36" s="47"/>
      <c r="G36" s="47"/>
      <c r="H36" s="127"/>
      <c r="I36" s="127"/>
      <c r="J36" s="128"/>
      <c r="K36" s="133"/>
      <c r="L36" s="130"/>
      <c r="M36" s="128"/>
      <c r="N36" s="134"/>
      <c r="O36" s="132"/>
      <c r="P36" s="128"/>
      <c r="Q36" s="134"/>
    </row>
    <row r="37" spans="1:19" ht="15.75" thickBot="1" x14ac:dyDescent="0.3">
      <c r="A37" s="170"/>
      <c r="B37" s="171"/>
      <c r="C37" s="92" t="s">
        <v>87</v>
      </c>
      <c r="D37" s="47"/>
      <c r="E37" s="47"/>
      <c r="F37" s="47"/>
      <c r="G37" s="47"/>
      <c r="H37" s="127"/>
      <c r="I37" s="127"/>
      <c r="J37" s="133"/>
      <c r="K37" s="133"/>
      <c r="L37" s="130"/>
      <c r="M37" s="133"/>
      <c r="N37" s="134"/>
      <c r="O37" s="132"/>
      <c r="P37" s="133"/>
      <c r="Q37" s="134"/>
    </row>
    <row r="38" spans="1:19" ht="15.75" thickBot="1" x14ac:dyDescent="0.3">
      <c r="A38" s="172" t="s">
        <v>72</v>
      </c>
      <c r="B38" s="173" t="s">
        <v>76</v>
      </c>
      <c r="C38" s="174" t="s">
        <v>88</v>
      </c>
      <c r="D38" s="175"/>
      <c r="E38" s="175"/>
      <c r="F38" s="175"/>
      <c r="G38" s="175"/>
      <c r="H38" s="176">
        <f>SUM(H39:H40)</f>
        <v>260000000</v>
      </c>
      <c r="I38" s="176">
        <f>SUM(I39:I40)</f>
        <v>260000000</v>
      </c>
      <c r="J38" s="177">
        <f>I38/$I$56</f>
        <v>1.2906518581524333E-2</v>
      </c>
      <c r="K38" s="178">
        <f>I38/H38-1</f>
        <v>0</v>
      </c>
      <c r="L38" s="179">
        <f>SUM(L39:L40)</f>
        <v>260000000</v>
      </c>
      <c r="M38" s="177">
        <f>L38/$L$56</f>
        <v>1.0723215192462292E-2</v>
      </c>
      <c r="N38" s="180">
        <f>L38/I38-1</f>
        <v>0</v>
      </c>
      <c r="O38" s="181">
        <f>SUM(O39:O40)</f>
        <v>260000000</v>
      </c>
      <c r="P38" s="177">
        <f>O38/$L$56</f>
        <v>1.0723215192462292E-2</v>
      </c>
      <c r="Q38" s="180">
        <f>O38/L38-1</f>
        <v>0</v>
      </c>
    </row>
    <row r="39" spans="1:19" x14ac:dyDescent="0.25">
      <c r="A39" s="182" t="s">
        <v>72</v>
      </c>
      <c r="B39" s="183"/>
      <c r="C39" s="161"/>
      <c r="D39" s="162" t="s">
        <v>89</v>
      </c>
      <c r="E39" s="163"/>
      <c r="F39" s="163"/>
      <c r="G39" s="164"/>
      <c r="H39" s="184">
        <v>10000000</v>
      </c>
      <c r="I39" s="143">
        <v>10000000</v>
      </c>
      <c r="J39" s="144">
        <f>I39/$I$56</f>
        <v>4.9640456082785897E-4</v>
      </c>
      <c r="K39" s="145">
        <f t="shared" ref="K39:K55" si="6">I39/H39-1</f>
        <v>0</v>
      </c>
      <c r="L39" s="146">
        <v>10000000</v>
      </c>
      <c r="M39" s="144">
        <f>L39/$L$56</f>
        <v>4.12431353556242E-4</v>
      </c>
      <c r="N39" s="156">
        <f>L39/I39-1</f>
        <v>0</v>
      </c>
      <c r="O39" s="148">
        <v>10000000</v>
      </c>
      <c r="P39" s="144">
        <f>O39/$O$56</f>
        <v>3.9793932323326485E-4</v>
      </c>
      <c r="Q39" s="156">
        <f>O39/L39-1</f>
        <v>0</v>
      </c>
    </row>
    <row r="40" spans="1:19" ht="15.75" thickBot="1" x14ac:dyDescent="0.3">
      <c r="A40" s="185" t="s">
        <v>72</v>
      </c>
      <c r="B40" s="183"/>
      <c r="C40" s="161"/>
      <c r="D40" s="183" t="s">
        <v>90</v>
      </c>
      <c r="E40" s="186"/>
      <c r="F40" s="186"/>
      <c r="G40" s="187"/>
      <c r="H40" s="184">
        <v>250000000</v>
      </c>
      <c r="I40" s="143">
        <v>250000000</v>
      </c>
      <c r="J40" s="144">
        <f>I40/$I$56</f>
        <v>1.2410114020696474E-2</v>
      </c>
      <c r="K40" s="145">
        <f t="shared" si="6"/>
        <v>0</v>
      </c>
      <c r="L40" s="146">
        <v>250000000</v>
      </c>
      <c r="M40" s="144">
        <f>L40/$L$56</f>
        <v>1.0310783838906051E-2</v>
      </c>
      <c r="N40" s="156">
        <f>L40/I40-1</f>
        <v>0</v>
      </c>
      <c r="O40" s="148">
        <v>250000000</v>
      </c>
      <c r="P40" s="144">
        <f>O40/$O$56</f>
        <v>9.9484830808316219E-3</v>
      </c>
      <c r="Q40" s="156">
        <f>O40/L40-1</f>
        <v>0</v>
      </c>
    </row>
    <row r="41" spans="1:19" ht="15.75" thickBot="1" x14ac:dyDescent="0.3">
      <c r="A41" s="736"/>
      <c r="B41" s="188"/>
      <c r="C41" s="174" t="s">
        <v>91</v>
      </c>
      <c r="D41" s="175"/>
      <c r="E41" s="175"/>
      <c r="F41" s="175"/>
      <c r="G41" s="175"/>
      <c r="H41" s="189">
        <f>SUM(H42:H54)</f>
        <v>600159400</v>
      </c>
      <c r="I41" s="189">
        <f>SUM(I42:I54)</f>
        <v>855125800</v>
      </c>
      <c r="J41" s="177">
        <f>I41/$I$56</f>
        <v>4.2448834720157154E-2</v>
      </c>
      <c r="K41" s="178">
        <f t="shared" si="6"/>
        <v>0.42483113652806237</v>
      </c>
      <c r="L41" s="190">
        <f>SUM(L42:L54)</f>
        <v>480400000</v>
      </c>
      <c r="M41" s="177">
        <f>L41/$L$56</f>
        <v>1.9813202224841866E-2</v>
      </c>
      <c r="N41" s="180">
        <f>L41/I41-1</f>
        <v>-0.43821131346990116</v>
      </c>
      <c r="O41" s="191">
        <f>SUM(O42:O50)</f>
        <v>252686000</v>
      </c>
      <c r="P41" s="177">
        <f>O41/$O$56</f>
        <v>1.0055369583052077E-2</v>
      </c>
      <c r="Q41" s="180">
        <f>O41/L41-1</f>
        <v>-0.47400915903413821</v>
      </c>
    </row>
    <row r="42" spans="1:19" x14ac:dyDescent="0.25">
      <c r="A42" s="192" t="s">
        <v>72</v>
      </c>
      <c r="B42" s="157" t="s">
        <v>76</v>
      </c>
      <c r="C42" s="161" t="s">
        <v>92</v>
      </c>
      <c r="D42" s="193" t="s">
        <v>93</v>
      </c>
      <c r="E42" s="193"/>
      <c r="F42" s="193"/>
      <c r="G42" s="193"/>
      <c r="H42" s="194"/>
      <c r="I42" s="194"/>
      <c r="J42" s="195"/>
      <c r="K42" s="196"/>
      <c r="L42" s="197"/>
      <c r="M42" s="195"/>
      <c r="N42" s="198"/>
      <c r="O42" s="199"/>
      <c r="P42" s="195"/>
      <c r="Q42" s="198"/>
      <c r="S42" s="12"/>
    </row>
    <row r="43" spans="1:19" x14ac:dyDescent="0.25">
      <c r="A43" s="141" t="s">
        <v>72</v>
      </c>
      <c r="B43" s="157"/>
      <c r="C43" s="161"/>
      <c r="D43" s="155" t="s">
        <v>206</v>
      </c>
      <c r="E43" s="186" t="s">
        <v>94</v>
      </c>
      <c r="F43" s="193"/>
      <c r="G43" s="193"/>
      <c r="H43" s="200">
        <v>60000000</v>
      </c>
      <c r="I43" s="200">
        <v>80000000</v>
      </c>
      <c r="J43" s="201">
        <f>I43/$I$56</f>
        <v>3.9712364866228717E-3</v>
      </c>
      <c r="K43" s="202">
        <f t="shared" si="6"/>
        <v>0.33333333333333326</v>
      </c>
      <c r="L43" s="146">
        <v>86690000</v>
      </c>
      <c r="M43" s="201">
        <f>L43/$L$56</f>
        <v>3.5753674039790619E-3</v>
      </c>
      <c r="N43" s="156">
        <f>L43/I43-1</f>
        <v>8.362500000000006E-2</v>
      </c>
      <c r="O43" s="148">
        <v>86690000</v>
      </c>
      <c r="P43" s="201">
        <f>O43/$O$56</f>
        <v>3.4497359931091732E-3</v>
      </c>
      <c r="Q43" s="156">
        <f>O43/L43-1</f>
        <v>0</v>
      </c>
      <c r="S43" s="12"/>
    </row>
    <row r="44" spans="1:19" x14ac:dyDescent="0.25">
      <c r="A44" s="192" t="s">
        <v>72</v>
      </c>
      <c r="B44" s="157"/>
      <c r="C44" s="161"/>
      <c r="D44" s="161"/>
      <c r="E44" s="186" t="s">
        <v>95</v>
      </c>
      <c r="F44" s="193"/>
      <c r="G44" s="193"/>
      <c r="H44" s="200">
        <v>22000000</v>
      </c>
      <c r="I44" s="200">
        <v>22000000</v>
      </c>
      <c r="J44" s="201">
        <f>I44/$I$56</f>
        <v>1.0920900338212897E-3</v>
      </c>
      <c r="K44" s="202">
        <f t="shared" si="6"/>
        <v>0</v>
      </c>
      <c r="L44" s="146">
        <v>22000000</v>
      </c>
      <c r="M44" s="201">
        <f>L44/$L$56</f>
        <v>9.0734897782373245E-4</v>
      </c>
      <c r="N44" s="156">
        <f>L44/I44-1</f>
        <v>0</v>
      </c>
      <c r="O44" s="148">
        <v>22000000</v>
      </c>
      <c r="P44" s="201">
        <f>O44/$O$56</f>
        <v>8.7546651111318268E-4</v>
      </c>
      <c r="Q44" s="156">
        <f>O44/L44-1</f>
        <v>0</v>
      </c>
      <c r="S44" s="12"/>
    </row>
    <row r="45" spans="1:19" x14ac:dyDescent="0.25">
      <c r="A45" s="192" t="s">
        <v>72</v>
      </c>
      <c r="B45" s="157"/>
      <c r="C45" s="161"/>
      <c r="D45" s="161"/>
      <c r="E45" s="193" t="s">
        <v>96</v>
      </c>
      <c r="F45" s="193"/>
      <c r="G45" s="193"/>
      <c r="H45" s="194"/>
      <c r="I45" s="194">
        <v>8000000</v>
      </c>
      <c r="J45" s="195"/>
      <c r="K45" s="202"/>
      <c r="L45" s="203">
        <v>8000000</v>
      </c>
      <c r="M45" s="195"/>
      <c r="N45" s="156"/>
      <c r="O45" s="204"/>
      <c r="P45" s="195"/>
      <c r="Q45" s="156"/>
      <c r="S45" s="12"/>
    </row>
    <row r="46" spans="1:19" x14ac:dyDescent="0.25">
      <c r="A46" s="192"/>
      <c r="B46" s="157"/>
      <c r="C46" s="161"/>
      <c r="D46" s="161"/>
      <c r="E46" s="193" t="s">
        <v>97</v>
      </c>
      <c r="F46" s="193"/>
      <c r="G46" s="193"/>
      <c r="H46" s="194">
        <v>100000000</v>
      </c>
      <c r="I46" s="194"/>
      <c r="J46" s="195"/>
      <c r="K46" s="202"/>
      <c r="L46" s="203"/>
      <c r="M46" s="195"/>
      <c r="N46" s="156"/>
      <c r="O46" s="204"/>
      <c r="P46" s="195"/>
      <c r="Q46" s="156"/>
      <c r="S46" s="12"/>
    </row>
    <row r="47" spans="1:19" ht="16.5" x14ac:dyDescent="0.25">
      <c r="A47" s="192" t="s">
        <v>72</v>
      </c>
      <c r="B47" s="157"/>
      <c r="C47" s="161"/>
      <c r="D47" s="161"/>
      <c r="E47" s="193" t="s">
        <v>277</v>
      </c>
      <c r="F47" s="193"/>
      <c r="G47" s="193"/>
      <c r="H47" s="194">
        <v>260000000</v>
      </c>
      <c r="I47" s="194">
        <v>165000000</v>
      </c>
      <c r="J47" s="195">
        <f>I47/$I$56</f>
        <v>8.1906752536596728E-3</v>
      </c>
      <c r="K47" s="202">
        <f t="shared" si="6"/>
        <v>-0.36538461538461542</v>
      </c>
      <c r="L47" s="203">
        <v>85000000</v>
      </c>
      <c r="M47" s="195">
        <f>L47/$L$56</f>
        <v>3.505666505228057E-3</v>
      </c>
      <c r="N47" s="156">
        <f>L47/I47-1</f>
        <v>-0.48484848484848486</v>
      </c>
      <c r="O47" s="204">
        <v>30000000</v>
      </c>
      <c r="P47" s="195">
        <f>O47/$O$56</f>
        <v>1.1938179696997946E-3</v>
      </c>
      <c r="Q47" s="156">
        <f>O47/L47-1</f>
        <v>-0.64705882352941169</v>
      </c>
      <c r="S47" s="12"/>
    </row>
    <row r="48" spans="1:19" x14ac:dyDescent="0.25">
      <c r="A48" s="192"/>
      <c r="B48" s="157" t="s">
        <v>76</v>
      </c>
      <c r="C48" s="161"/>
      <c r="D48" s="161"/>
      <c r="E48" s="186" t="s">
        <v>214</v>
      </c>
      <c r="F48" s="193"/>
      <c r="G48" s="193"/>
      <c r="H48" s="200">
        <v>8000000</v>
      </c>
      <c r="I48" s="200">
        <v>8000000</v>
      </c>
      <c r="J48" s="201">
        <f>I48/$I$56</f>
        <v>3.9712364866228717E-4</v>
      </c>
      <c r="K48" s="202">
        <f t="shared" si="6"/>
        <v>0</v>
      </c>
      <c r="L48" s="146">
        <v>8000000</v>
      </c>
      <c r="M48" s="201">
        <f>L48/$L$56</f>
        <v>3.2994508284499361E-4</v>
      </c>
      <c r="N48" s="156">
        <f>L48/I48-1</f>
        <v>0</v>
      </c>
      <c r="O48" s="148">
        <v>8000000</v>
      </c>
      <c r="P48" s="201">
        <f>O48/$O$56</f>
        <v>3.1835145858661191E-4</v>
      </c>
      <c r="Q48" s="156">
        <f>O48/L48-1</f>
        <v>0</v>
      </c>
      <c r="S48" s="12"/>
    </row>
    <row r="49" spans="1:20" x14ac:dyDescent="0.25">
      <c r="A49" s="192"/>
      <c r="B49" s="157" t="s">
        <v>76</v>
      </c>
      <c r="C49" s="161"/>
      <c r="D49" s="161"/>
      <c r="E49" s="186" t="s">
        <v>215</v>
      </c>
      <c r="F49" s="186"/>
      <c r="G49" s="186"/>
      <c r="H49" s="200">
        <v>23000000</v>
      </c>
      <c r="I49" s="200">
        <v>23000000</v>
      </c>
      <c r="J49" s="201">
        <f>I49/$I$56</f>
        <v>1.1417304899040755E-3</v>
      </c>
      <c r="K49" s="202">
        <f t="shared" si="6"/>
        <v>0</v>
      </c>
      <c r="L49" s="146">
        <v>24000000</v>
      </c>
      <c r="M49" s="201">
        <f>L49/$L$56</f>
        <v>9.898352485349809E-4</v>
      </c>
      <c r="N49" s="156">
        <f>L49/I49-1</f>
        <v>4.3478260869565188E-2</v>
      </c>
      <c r="O49" s="148">
        <v>24000000</v>
      </c>
      <c r="P49" s="201">
        <f>O49/$O$56</f>
        <v>9.5505437575983568E-4</v>
      </c>
      <c r="Q49" s="156">
        <f>O49/L49-1</f>
        <v>0</v>
      </c>
      <c r="S49" s="12"/>
    </row>
    <row r="50" spans="1:20" x14ac:dyDescent="0.25">
      <c r="A50" s="192" t="s">
        <v>72</v>
      </c>
      <c r="B50" s="157" t="s">
        <v>76</v>
      </c>
      <c r="C50" s="161"/>
      <c r="D50" s="161"/>
      <c r="E50" s="205" t="s">
        <v>98</v>
      </c>
      <c r="F50" s="205"/>
      <c r="G50" s="205"/>
      <c r="H50" s="194">
        <v>17000000</v>
      </c>
      <c r="I50" s="194">
        <v>537600519.35603809</v>
      </c>
      <c r="J50" s="195">
        <f>I50/$I$56</f>
        <v>2.6686734971176299E-2</v>
      </c>
      <c r="K50" s="196">
        <f t="shared" si="6"/>
        <v>30.623559962119888</v>
      </c>
      <c r="L50" s="203">
        <v>216710000</v>
      </c>
      <c r="M50" s="201">
        <f>L50/$L$56</f>
        <v>8.9377998629173207E-3</v>
      </c>
      <c r="N50" s="156">
        <f>L50/I50-1</f>
        <v>-0.59689399061670378</v>
      </c>
      <c r="O50" s="204">
        <v>81996000</v>
      </c>
      <c r="P50" s="201">
        <f>O50/$O$56</f>
        <v>3.2629432747834784E-3</v>
      </c>
      <c r="Q50" s="156">
        <f>O50/L50-1</f>
        <v>-0.62163259655761149</v>
      </c>
      <c r="S50" s="12"/>
    </row>
    <row r="51" spans="1:20" x14ac:dyDescent="0.25">
      <c r="A51" s="192" t="s">
        <v>72</v>
      </c>
      <c r="B51" s="157"/>
      <c r="C51" s="955" t="s">
        <v>272</v>
      </c>
      <c r="D51" s="956"/>
      <c r="E51" s="956"/>
      <c r="F51" s="956"/>
      <c r="G51" s="957"/>
      <c r="H51" s="194"/>
      <c r="I51" s="194"/>
      <c r="J51" s="195"/>
      <c r="K51" s="202"/>
      <c r="L51" s="203"/>
      <c r="M51" s="195"/>
      <c r="N51" s="156"/>
      <c r="O51" s="204">
        <v>100000000</v>
      </c>
      <c r="P51" s="195"/>
      <c r="Q51" s="156"/>
      <c r="S51" s="12"/>
    </row>
    <row r="52" spans="1:20" x14ac:dyDescent="0.25">
      <c r="A52" s="192" t="s">
        <v>72</v>
      </c>
      <c r="B52" s="157"/>
      <c r="C52" s="966" t="s">
        <v>275</v>
      </c>
      <c r="D52" s="967"/>
      <c r="E52" s="967"/>
      <c r="F52" s="967"/>
      <c r="G52" s="968"/>
      <c r="H52" s="194"/>
      <c r="I52" s="194">
        <v>11525280.643961906</v>
      </c>
      <c r="J52" s="195"/>
      <c r="K52" s="196"/>
      <c r="L52" s="203">
        <v>30000000</v>
      </c>
      <c r="M52" s="201"/>
      <c r="N52" s="156"/>
      <c r="O52" s="204">
        <v>38000000</v>
      </c>
      <c r="P52" s="201"/>
      <c r="Q52" s="156"/>
      <c r="S52" s="12"/>
    </row>
    <row r="53" spans="1:20" x14ac:dyDescent="0.25">
      <c r="A53" s="192"/>
      <c r="B53" s="157"/>
      <c r="C53" s="206" t="s">
        <v>99</v>
      </c>
      <c r="D53" s="207"/>
      <c r="E53" s="207"/>
      <c r="F53" s="207"/>
      <c r="G53" s="208"/>
      <c r="H53" s="194">
        <v>105159400</v>
      </c>
      <c r="I53" s="194"/>
      <c r="J53" s="195"/>
      <c r="K53" s="196"/>
      <c r="L53" s="203"/>
      <c r="M53" s="201"/>
      <c r="N53" s="156"/>
      <c r="O53" s="204"/>
      <c r="P53" s="201"/>
      <c r="Q53" s="156"/>
      <c r="S53" s="12"/>
    </row>
    <row r="54" spans="1:20" ht="15.75" thickBot="1" x14ac:dyDescent="0.3">
      <c r="A54" s="209"/>
      <c r="B54" s="210"/>
      <c r="C54" s="945" t="s">
        <v>100</v>
      </c>
      <c r="D54" s="946"/>
      <c r="E54" s="946"/>
      <c r="F54" s="946"/>
      <c r="G54" s="969"/>
      <c r="H54" s="211">
        <v>5000000</v>
      </c>
      <c r="I54" s="211"/>
      <c r="J54" s="212"/>
      <c r="K54" s="213"/>
      <c r="L54" s="214"/>
      <c r="M54" s="215"/>
      <c r="N54" s="109"/>
      <c r="O54" s="216"/>
      <c r="P54" s="215"/>
      <c r="Q54" s="109"/>
    </row>
    <row r="55" spans="1:20" ht="15.75" thickBot="1" x14ac:dyDescent="0.3">
      <c r="A55" s="217"/>
      <c r="B55" s="218"/>
      <c r="C55" s="219" t="s">
        <v>101</v>
      </c>
      <c r="D55" s="220"/>
      <c r="E55" s="220"/>
      <c r="F55" s="220"/>
      <c r="G55" s="220"/>
      <c r="H55" s="221">
        <f>+H38+H41</f>
        <v>860159400</v>
      </c>
      <c r="I55" s="221">
        <f>+I38+I41</f>
        <v>1115125800</v>
      </c>
      <c r="J55" s="222">
        <f>I55/$I$56</f>
        <v>5.5355353301681488E-2</v>
      </c>
      <c r="K55" s="223">
        <f t="shared" si="6"/>
        <v>0.29641761747880691</v>
      </c>
      <c r="L55" s="224">
        <f>+L38+L41</f>
        <v>740400000</v>
      </c>
      <c r="M55" s="222">
        <f>L55/$L$57</f>
        <v>3.053641741730416E-2</v>
      </c>
      <c r="N55" s="225">
        <f>L55/I55-1</f>
        <v>-0.33603903703062021</v>
      </c>
      <c r="O55" s="226">
        <f>+O38+O41+O51+O52</f>
        <v>650686000</v>
      </c>
      <c r="P55" s="222">
        <f>O55/$O$56</f>
        <v>2.5893354647736018E-2</v>
      </c>
      <c r="Q55" s="225">
        <f>O55/L55-1</f>
        <v>-0.12116963803349545</v>
      </c>
      <c r="S55" s="12"/>
      <c r="T55" s="12"/>
    </row>
    <row r="56" spans="1:20" s="236" customFormat="1" ht="6" customHeight="1" thickBot="1" x14ac:dyDescent="0.3">
      <c r="A56" s="227"/>
      <c r="B56" s="228"/>
      <c r="C56" s="229"/>
      <c r="D56" s="229"/>
      <c r="E56" s="229"/>
      <c r="F56" s="229"/>
      <c r="G56" s="229"/>
      <c r="H56" s="230">
        <v>19907272</v>
      </c>
      <c r="I56" s="230">
        <v>20144859232</v>
      </c>
      <c r="J56" s="231">
        <f>I56/$I$56</f>
        <v>1</v>
      </c>
      <c r="K56" s="232"/>
      <c r="L56" s="233">
        <f>L57</f>
        <v>24246459232</v>
      </c>
      <c r="M56" s="231"/>
      <c r="N56" s="234"/>
      <c r="O56" s="235">
        <f>O57</f>
        <v>25129459232</v>
      </c>
      <c r="P56" s="231"/>
      <c r="Q56" s="234"/>
    </row>
    <row r="57" spans="1:20" ht="16.5" thickBot="1" x14ac:dyDescent="0.3">
      <c r="A57" s="737"/>
      <c r="B57" s="738"/>
      <c r="C57" s="739" t="s">
        <v>207</v>
      </c>
      <c r="D57" s="740"/>
      <c r="E57" s="740"/>
      <c r="F57" s="740"/>
      <c r="G57" s="741"/>
      <c r="H57" s="258">
        <f>+H19+H28+H35+H55</f>
        <v>20144859232</v>
      </c>
      <c r="I57" s="258">
        <f>+I19+I28+I35+I55</f>
        <v>22829459232</v>
      </c>
      <c r="J57" s="222">
        <f>I57/$I$56</f>
        <v>1.1332647683998469</v>
      </c>
      <c r="K57" s="223">
        <f>I57/H57-1</f>
        <v>0.13326476839984691</v>
      </c>
      <c r="L57" s="742">
        <f>+L19+L28+L35+L55</f>
        <v>24246459232</v>
      </c>
      <c r="M57" s="222">
        <f>L57/$L$57</f>
        <v>1</v>
      </c>
      <c r="N57" s="225">
        <f>L57/I57-1</f>
        <v>6.2068925312685153E-2</v>
      </c>
      <c r="O57" s="743">
        <f>+O19+O28+O35+O55</f>
        <v>25129459232</v>
      </c>
      <c r="P57" s="222">
        <f>P19+P28+P35+P55</f>
        <v>0.99999999999999989</v>
      </c>
      <c r="Q57" s="225">
        <f>O57/L57-1</f>
        <v>3.6417688519016167E-2</v>
      </c>
    </row>
    <row r="58" spans="1:20" ht="15.75" thickBot="1" x14ac:dyDescent="0.3"/>
    <row r="59" spans="1:20" ht="15.75" x14ac:dyDescent="0.25">
      <c r="A59" s="746"/>
      <c r="B59" s="747"/>
      <c r="C59" s="748" t="s">
        <v>208</v>
      </c>
      <c r="D59" s="749"/>
      <c r="E59" s="749"/>
      <c r="F59" s="749"/>
      <c r="G59" s="749"/>
      <c r="H59" s="135"/>
      <c r="I59" s="135"/>
      <c r="J59" s="750"/>
      <c r="K59" s="751"/>
      <c r="L59" s="752"/>
      <c r="M59" s="750"/>
      <c r="N59" s="753"/>
      <c r="O59" s="754">
        <v>2245994748</v>
      </c>
      <c r="P59" s="750"/>
      <c r="Q59" s="753"/>
    </row>
    <row r="60" spans="1:20" ht="15.75" x14ac:dyDescent="0.25">
      <c r="A60" s="237"/>
      <c r="B60" s="238"/>
      <c r="C60" s="239" t="s">
        <v>209</v>
      </c>
      <c r="D60" s="240"/>
      <c r="E60" s="240"/>
      <c r="F60" s="240"/>
      <c r="G60" s="240"/>
      <c r="H60" s="143"/>
      <c r="I60" s="143"/>
      <c r="J60" s="241"/>
      <c r="K60" s="242"/>
      <c r="L60" s="243"/>
      <c r="M60" s="241"/>
      <c r="N60" s="244"/>
      <c r="O60" s="245">
        <v>36223000</v>
      </c>
      <c r="P60" s="241"/>
      <c r="Q60" s="244"/>
    </row>
    <row r="61" spans="1:20" ht="16.5" thickBot="1" x14ac:dyDescent="0.3">
      <c r="A61" s="246"/>
      <c r="B61" s="247"/>
      <c r="C61" s="248" t="s">
        <v>210</v>
      </c>
      <c r="D61" s="249"/>
      <c r="E61" s="249"/>
      <c r="F61" s="249"/>
      <c r="G61" s="249"/>
      <c r="H61" s="250"/>
      <c r="I61" s="250"/>
      <c r="J61" s="251"/>
      <c r="K61" s="252"/>
      <c r="L61" s="253"/>
      <c r="M61" s="251"/>
      <c r="N61" s="254"/>
      <c r="O61" s="255">
        <v>25129459232</v>
      </c>
      <c r="P61" s="251"/>
      <c r="Q61" s="254"/>
    </row>
    <row r="62" spans="1:20" ht="18.75" thickBot="1" x14ac:dyDescent="0.3">
      <c r="A62" s="256"/>
      <c r="B62" s="257"/>
      <c r="C62" s="953" t="s">
        <v>102</v>
      </c>
      <c r="D62" s="954"/>
      <c r="E62" s="954"/>
      <c r="F62" s="954"/>
      <c r="G62" s="954"/>
      <c r="H62" s="258"/>
      <c r="I62" s="258"/>
      <c r="J62" s="222"/>
      <c r="K62" s="223"/>
      <c r="L62" s="259"/>
      <c r="M62" s="222"/>
      <c r="N62" s="225"/>
      <c r="O62" s="744">
        <f>SUM(O59:O61)</f>
        <v>27411676980</v>
      </c>
      <c r="P62" s="222"/>
      <c r="Q62" s="225"/>
    </row>
    <row r="63" spans="1:20" x14ac:dyDescent="0.25">
      <c r="A63" s="260"/>
      <c r="B63" s="260"/>
      <c r="C63" s="260"/>
      <c r="D63" s="260"/>
      <c r="E63" s="260"/>
      <c r="F63" s="260"/>
      <c r="G63" s="260"/>
      <c r="H63" s="261"/>
      <c r="I63" s="262"/>
      <c r="J63" s="263"/>
      <c r="K63" s="264"/>
      <c r="L63" s="264"/>
      <c r="M63" s="263"/>
      <c r="N63" s="264"/>
      <c r="O63" s="264"/>
      <c r="P63" s="265"/>
      <c r="Q63" s="265"/>
    </row>
    <row r="64" spans="1:20" ht="15.75" x14ac:dyDescent="0.25">
      <c r="A64" s="260"/>
      <c r="B64" s="260"/>
      <c r="C64" s="266" t="s">
        <v>291</v>
      </c>
      <c r="D64" s="260"/>
      <c r="E64" s="260"/>
      <c r="F64" s="260"/>
      <c r="G64" s="260"/>
      <c r="H64" s="261"/>
      <c r="I64" s="262"/>
      <c r="J64" s="263"/>
      <c r="K64" s="264"/>
      <c r="L64" s="264"/>
      <c r="M64" s="263"/>
      <c r="N64" s="264"/>
      <c r="O64" s="264"/>
      <c r="P64" s="265"/>
      <c r="Q64" s="265"/>
    </row>
    <row r="65" spans="1:17" x14ac:dyDescent="0.25">
      <c r="A65" s="260"/>
      <c r="B65" s="260"/>
      <c r="C65" s="971" t="s">
        <v>103</v>
      </c>
      <c r="D65" s="971"/>
      <c r="E65" s="971"/>
      <c r="F65" s="971"/>
      <c r="G65" s="971"/>
      <c r="H65" s="267"/>
      <c r="I65" s="268"/>
      <c r="J65" s="269"/>
      <c r="K65" s="270"/>
      <c r="L65" s="270"/>
      <c r="M65" s="269"/>
      <c r="N65" s="270"/>
      <c r="O65" s="270">
        <f>+O16+O17+O18+O22+O24+O26+O32+O39+O40+O43+O44+O51+O47+O48+O49+O52+223000</f>
        <v>24740686232</v>
      </c>
      <c r="P65" s="265"/>
      <c r="Q65" s="868"/>
    </row>
    <row r="66" spans="1:17" x14ac:dyDescent="0.25">
      <c r="A66" s="260"/>
      <c r="B66" s="260"/>
      <c r="C66" s="971" t="s">
        <v>104</v>
      </c>
      <c r="D66" s="971"/>
      <c r="E66" s="971"/>
      <c r="F66" s="971"/>
      <c r="G66" s="971"/>
      <c r="H66" s="267"/>
      <c r="I66" s="268"/>
      <c r="J66" s="269"/>
      <c r="K66" s="270"/>
      <c r="L66" s="270"/>
      <c r="M66" s="269"/>
      <c r="N66" s="270"/>
      <c r="O66" s="270">
        <f>+O23+O25+O27+O33+O59+36000000</f>
        <v>2588994748</v>
      </c>
      <c r="P66" s="265"/>
      <c r="Q66" s="265"/>
    </row>
    <row r="67" spans="1:17" x14ac:dyDescent="0.25">
      <c r="A67" s="260"/>
      <c r="B67" s="260"/>
      <c r="C67" s="971" t="s">
        <v>278</v>
      </c>
      <c r="D67" s="971"/>
      <c r="E67" s="971"/>
      <c r="F67" s="971"/>
      <c r="G67" s="971"/>
      <c r="H67" s="267"/>
      <c r="I67" s="268"/>
      <c r="J67" s="269"/>
      <c r="K67" s="270"/>
      <c r="L67" s="270"/>
      <c r="M67" s="269"/>
      <c r="N67" s="270"/>
      <c r="O67" s="270">
        <f>+O50</f>
        <v>81996000</v>
      </c>
      <c r="P67" s="265"/>
      <c r="Q67" s="265"/>
    </row>
    <row r="68" spans="1:17" x14ac:dyDescent="0.25">
      <c r="A68" s="260"/>
      <c r="B68" s="260"/>
      <c r="C68" s="745"/>
      <c r="D68" s="745"/>
      <c r="E68" s="745"/>
      <c r="F68" s="745"/>
      <c r="G68" s="745"/>
      <c r="H68" s="261"/>
      <c r="I68" s="262"/>
      <c r="J68" s="263"/>
      <c r="K68" s="264"/>
      <c r="L68" s="264"/>
      <c r="M68" s="263"/>
      <c r="N68" s="264"/>
      <c r="O68" s="264"/>
      <c r="P68" s="265"/>
      <c r="Q68" s="265"/>
    </row>
    <row r="69" spans="1:17" ht="16.5" x14ac:dyDescent="0.25">
      <c r="A69" s="271" t="s">
        <v>211</v>
      </c>
      <c r="B69" s="972" t="s">
        <v>105</v>
      </c>
      <c r="C69" s="972"/>
      <c r="D69" s="972"/>
      <c r="E69" s="972"/>
      <c r="F69" s="972"/>
      <c r="G69" s="972"/>
      <c r="H69" s="972"/>
      <c r="I69" s="972"/>
      <c r="J69" s="972"/>
      <c r="K69" s="972"/>
      <c r="L69" s="972"/>
      <c r="M69" s="972"/>
      <c r="N69" s="972"/>
      <c r="O69" s="972"/>
      <c r="P69" s="972"/>
      <c r="Q69" s="972"/>
    </row>
    <row r="70" spans="1:17" ht="16.5" x14ac:dyDescent="0.25">
      <c r="A70" s="271" t="s">
        <v>212</v>
      </c>
      <c r="B70" s="972" t="s">
        <v>213</v>
      </c>
      <c r="C70" s="972"/>
      <c r="D70" s="972"/>
      <c r="E70" s="972"/>
      <c r="F70" s="972"/>
      <c r="G70" s="972"/>
      <c r="H70" s="972"/>
      <c r="I70" s="972"/>
      <c r="J70" s="972"/>
      <c r="K70" s="972"/>
      <c r="L70" s="972"/>
      <c r="M70" s="972"/>
      <c r="N70" s="972"/>
      <c r="O70" s="972"/>
      <c r="P70" s="972"/>
      <c r="Q70" s="972"/>
    </row>
    <row r="71" spans="1:17" ht="27.75" customHeight="1" x14ac:dyDescent="0.25">
      <c r="A71" s="271" t="s">
        <v>273</v>
      </c>
      <c r="B71" s="970" t="s">
        <v>276</v>
      </c>
      <c r="C71" s="970"/>
      <c r="D71" s="970"/>
      <c r="E71" s="970"/>
      <c r="F71" s="970"/>
      <c r="G71" s="970"/>
      <c r="H71" s="970"/>
      <c r="I71" s="970"/>
      <c r="J71" s="970"/>
      <c r="K71" s="970"/>
      <c r="L71" s="970"/>
      <c r="M71" s="970"/>
      <c r="N71" s="970"/>
      <c r="O71" s="970"/>
      <c r="P71" s="970"/>
      <c r="Q71" s="970"/>
    </row>
    <row r="72" spans="1:17" ht="16.5" x14ac:dyDescent="0.25">
      <c r="A72" s="271"/>
    </row>
    <row r="73" spans="1:17" ht="16.5" x14ac:dyDescent="0.25">
      <c r="A73" s="271"/>
      <c r="B73" s="41" t="s">
        <v>311</v>
      </c>
    </row>
  </sheetData>
  <mergeCells count="48">
    <mergeCell ref="B71:Q71"/>
    <mergeCell ref="C65:G65"/>
    <mergeCell ref="C66:G66"/>
    <mergeCell ref="C67:G67"/>
    <mergeCell ref="B69:Q69"/>
    <mergeCell ref="B70:Q70"/>
    <mergeCell ref="C62:G62"/>
    <mergeCell ref="C51:G51"/>
    <mergeCell ref="C22:G22"/>
    <mergeCell ref="C23:G23"/>
    <mergeCell ref="C24:G24"/>
    <mergeCell ref="C25:G25"/>
    <mergeCell ref="C26:G26"/>
    <mergeCell ref="C27:G27"/>
    <mergeCell ref="C28:G28"/>
    <mergeCell ref="C31:G31"/>
    <mergeCell ref="C35:G35"/>
    <mergeCell ref="C52:G52"/>
    <mergeCell ref="C54:G54"/>
    <mergeCell ref="P10:P12"/>
    <mergeCell ref="Q10:Q12"/>
    <mergeCell ref="C13:G13"/>
    <mergeCell ref="C16:G16"/>
    <mergeCell ref="C17:G17"/>
    <mergeCell ref="N10:N12"/>
    <mergeCell ref="O10:O12"/>
    <mergeCell ref="C19:G19"/>
    <mergeCell ref="J10:J12"/>
    <mergeCell ref="K10:K12"/>
    <mergeCell ref="L10:L12"/>
    <mergeCell ref="M10:M12"/>
    <mergeCell ref="A7:D7"/>
    <mergeCell ref="J7:K7"/>
    <mergeCell ref="A8:H8"/>
    <mergeCell ref="J8:K8"/>
    <mergeCell ref="A9:I9"/>
    <mergeCell ref="A10:A12"/>
    <mergeCell ref="B10:B12"/>
    <mergeCell ref="C10:G12"/>
    <mergeCell ref="H10:H12"/>
    <mergeCell ref="I10:I12"/>
    <mergeCell ref="A1:Q1"/>
    <mergeCell ref="A6:D6"/>
    <mergeCell ref="J6:K6"/>
    <mergeCell ref="A4:D4"/>
    <mergeCell ref="J4:K4"/>
    <mergeCell ref="A5:D5"/>
    <mergeCell ref="J5:K5"/>
  </mergeCells>
  <hyperlinks>
    <hyperlink ref="B73" location="'0 Seznam'!A1" display="Seznam"/>
  </hyperlinks>
  <pageMargins left="0.70866141732283472" right="0.70866141732283472" top="0.78740157480314965" bottom="0.78740157480314965" header="0.31496062992125984" footer="0.31496062992125984"/>
  <pageSetup paperSize="8" scale="66" orientation="landscape" r:id="rId1"/>
  <headerFooter>
    <oddHeader xml:space="preserve">&amp;LČ. j. MSMT-1753/2020-1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9D08E"/>
  </sheetPr>
  <dimension ref="A1:R37"/>
  <sheetViews>
    <sheetView zoomScale="85" zoomScaleNormal="85" workbookViewId="0">
      <selection activeCell="S27" sqref="S27"/>
    </sheetView>
  </sheetViews>
  <sheetFormatPr defaultRowHeight="15" x14ac:dyDescent="0.25"/>
  <cols>
    <col min="1" max="1" width="10.5703125" style="43" customWidth="1"/>
    <col min="2" max="2" width="45.85546875" style="43" customWidth="1"/>
    <col min="3" max="16" width="11" style="43" customWidth="1"/>
    <col min="17" max="18" width="15.85546875" style="43" customWidth="1"/>
    <col min="19" max="16384" width="9.140625" style="43"/>
  </cols>
  <sheetData>
    <row r="1" spans="1:18" ht="27.75" x14ac:dyDescent="0.25">
      <c r="A1" s="341" t="s">
        <v>147</v>
      </c>
    </row>
    <row r="2" spans="1:18" ht="28.5" thickBot="1" x14ac:dyDescent="0.3">
      <c r="A2" s="341"/>
    </row>
    <row r="3" spans="1:18" ht="15.75" customHeight="1" thickBot="1" x14ac:dyDescent="0.3">
      <c r="A3" s="977" t="s">
        <v>132</v>
      </c>
      <c r="B3" s="978"/>
      <c r="C3" s="342"/>
      <c r="D3" s="343"/>
      <c r="E3" s="343"/>
      <c r="F3" s="344">
        <v>0.2</v>
      </c>
      <c r="G3" s="342"/>
      <c r="H3" s="344">
        <v>0.1</v>
      </c>
      <c r="I3" s="342"/>
      <c r="J3" s="344">
        <v>0.1</v>
      </c>
      <c r="K3" s="342"/>
      <c r="L3" s="344">
        <v>0.5</v>
      </c>
      <c r="M3" s="345"/>
      <c r="N3" s="346">
        <v>3.5000000000000003E-2</v>
      </c>
      <c r="O3" s="345"/>
      <c r="P3" s="346">
        <v>6.5000000000000002E-2</v>
      </c>
      <c r="Q3" s="347">
        <f>SUM(F3:P3)</f>
        <v>1</v>
      </c>
      <c r="R3" s="348">
        <v>3.2120509365028735E-2</v>
      </c>
    </row>
    <row r="4" spans="1:18" ht="30" customHeight="1" x14ac:dyDescent="0.25">
      <c r="A4" s="979" t="s">
        <v>2</v>
      </c>
      <c r="B4" s="981" t="s">
        <v>3</v>
      </c>
      <c r="C4" s="983" t="s">
        <v>133</v>
      </c>
      <c r="D4" s="984"/>
      <c r="E4" s="984"/>
      <c r="F4" s="985"/>
      <c r="G4" s="973" t="s">
        <v>134</v>
      </c>
      <c r="H4" s="974"/>
      <c r="I4" s="973" t="s">
        <v>135</v>
      </c>
      <c r="J4" s="974"/>
      <c r="K4" s="973" t="s">
        <v>136</v>
      </c>
      <c r="L4" s="974"/>
      <c r="M4" s="973" t="s">
        <v>218</v>
      </c>
      <c r="N4" s="974"/>
      <c r="O4" s="973" t="s">
        <v>137</v>
      </c>
      <c r="P4" s="974"/>
      <c r="Q4" s="986" t="s">
        <v>138</v>
      </c>
      <c r="R4" s="986" t="s">
        <v>139</v>
      </c>
    </row>
    <row r="5" spans="1:18" ht="15.75" thickBot="1" x14ac:dyDescent="0.3">
      <c r="A5" s="980"/>
      <c r="B5" s="982"/>
      <c r="C5" s="349" t="s">
        <v>140</v>
      </c>
      <c r="D5" s="350" t="s">
        <v>141</v>
      </c>
      <c r="E5" s="351" t="s">
        <v>30</v>
      </c>
      <c r="F5" s="352" t="s">
        <v>142</v>
      </c>
      <c r="G5" s="353" t="s">
        <v>30</v>
      </c>
      <c r="H5" s="354" t="s">
        <v>142</v>
      </c>
      <c r="I5" s="353" t="s">
        <v>30</v>
      </c>
      <c r="J5" s="354" t="s">
        <v>142</v>
      </c>
      <c r="K5" s="353" t="s">
        <v>30</v>
      </c>
      <c r="L5" s="354" t="s">
        <v>142</v>
      </c>
      <c r="M5" s="353" t="s">
        <v>30</v>
      </c>
      <c r="N5" s="354" t="s">
        <v>142</v>
      </c>
      <c r="O5" s="353" t="s">
        <v>30</v>
      </c>
      <c r="P5" s="354" t="s">
        <v>142</v>
      </c>
      <c r="Q5" s="987"/>
      <c r="R5" s="987"/>
    </row>
    <row r="6" spans="1:18" x14ac:dyDescent="0.25">
      <c r="A6" s="355">
        <v>51000</v>
      </c>
      <c r="B6" s="356" t="s">
        <v>24</v>
      </c>
      <c r="C6" s="357"/>
      <c r="D6" s="358"/>
      <c r="E6" s="359"/>
      <c r="F6" s="360">
        <f>0.5*F12+0.3*F18+0.2*F24</f>
        <v>0.42099499575627231</v>
      </c>
      <c r="G6" s="357"/>
      <c r="H6" s="360">
        <f>H12</f>
        <v>0.43415011788018132</v>
      </c>
      <c r="I6" s="357"/>
      <c r="J6" s="361">
        <f>J12</f>
        <v>0.54723850540812702</v>
      </c>
      <c r="K6" s="357"/>
      <c r="L6" s="360">
        <f>L12</f>
        <v>0.40895386299401704</v>
      </c>
      <c r="M6" s="357"/>
      <c r="N6" s="361">
        <f>N12</f>
        <v>0.83450817802136679</v>
      </c>
      <c r="O6" s="357"/>
      <c r="P6" s="360">
        <f>0.5*P18+0.3*P24+0.2*P30</f>
        <v>0.41168711044277306</v>
      </c>
      <c r="Q6" s="362">
        <f t="array" ref="Q6">SUM($C$3:$P$3*C6:P6)</f>
        <v>0.44278224138662187</v>
      </c>
      <c r="R6" s="363">
        <f>Q6*$R$3</f>
        <v>1.4222391131127401E-2</v>
      </c>
    </row>
    <row r="7" spans="1:18" x14ac:dyDescent="0.25">
      <c r="A7" s="355">
        <v>52000</v>
      </c>
      <c r="B7" s="364" t="s">
        <v>25</v>
      </c>
      <c r="C7" s="358"/>
      <c r="D7" s="358"/>
      <c r="E7" s="358"/>
      <c r="F7" s="365">
        <f>0.5*F13+0.3*F19+0.2*F25</f>
        <v>0.12125168864423828</v>
      </c>
      <c r="G7" s="366"/>
      <c r="H7" s="365">
        <f>H13</f>
        <v>0.14152686164438033</v>
      </c>
      <c r="I7" s="366"/>
      <c r="J7" s="367">
        <f>J13</f>
        <v>0.17164037131701576</v>
      </c>
      <c r="K7" s="366"/>
      <c r="L7" s="365">
        <f>L13</f>
        <v>0.13686308775285133</v>
      </c>
      <c r="M7" s="366"/>
      <c r="N7" s="367">
        <f>N13</f>
        <v>0</v>
      </c>
      <c r="O7" s="366"/>
      <c r="P7" s="365">
        <f>0.5*P19+0.3*P25+0.2*P31</f>
        <v>0.17877789604054595</v>
      </c>
      <c r="Q7" s="368">
        <f t="array" ref="Q7">SUM($C$3:$P$3*C7:P7)</f>
        <v>0.13561916814404842</v>
      </c>
      <c r="R7" s="369">
        <f>Q7*$R$3</f>
        <v>4.3561567604483145E-3</v>
      </c>
    </row>
    <row r="8" spans="1:18" x14ac:dyDescent="0.25">
      <c r="A8" s="355">
        <v>53000</v>
      </c>
      <c r="B8" s="364" t="s">
        <v>26</v>
      </c>
      <c r="C8" s="358"/>
      <c r="D8" s="358"/>
      <c r="E8" s="358"/>
      <c r="F8" s="367">
        <f>0.5*F14+0.3*F20+0.2*F26</f>
        <v>0.27422900524928018</v>
      </c>
      <c r="G8" s="366"/>
      <c r="H8" s="365">
        <f>H14</f>
        <v>0.16788151243789212</v>
      </c>
      <c r="I8" s="366"/>
      <c r="J8" s="367">
        <f>J14</f>
        <v>0.18420984854298508</v>
      </c>
      <c r="K8" s="366"/>
      <c r="L8" s="365">
        <f>L14</f>
        <v>0.22992135857235674</v>
      </c>
      <c r="M8" s="366"/>
      <c r="N8" s="367">
        <f>N14</f>
        <v>0.16549182197863313</v>
      </c>
      <c r="O8" s="366"/>
      <c r="P8" s="365">
        <f>0.5*P20+0.3*P26+0.2*P32</f>
        <v>0.27476297605668115</v>
      </c>
      <c r="Q8" s="369">
        <f t="array" ref="Q8">SUM($C$3:$P$3*C8:P8)</f>
        <v>0.22866742364705855</v>
      </c>
      <c r="R8" s="369">
        <f>Q8*$R$3</f>
        <v>7.3449141227323374E-3</v>
      </c>
    </row>
    <row r="9" spans="1:18" ht="15" customHeight="1" thickBot="1" x14ac:dyDescent="0.3">
      <c r="A9" s="370">
        <v>54000</v>
      </c>
      <c r="B9" s="371" t="s">
        <v>27</v>
      </c>
      <c r="C9" s="372"/>
      <c r="D9" s="358"/>
      <c r="E9" s="373"/>
      <c r="F9" s="374">
        <f>0.5*F15+0.3*F21+0.2*F27</f>
        <v>0.18352431035020925</v>
      </c>
      <c r="G9" s="366"/>
      <c r="H9" s="365">
        <f>H15</f>
        <v>0.25644150803754617</v>
      </c>
      <c r="I9" s="366"/>
      <c r="J9" s="367">
        <f>J15</f>
        <v>9.6911274731872221E-2</v>
      </c>
      <c r="K9" s="366"/>
      <c r="L9" s="365">
        <f>L15</f>
        <v>0.22426169068077495</v>
      </c>
      <c r="M9" s="366"/>
      <c r="N9" s="367">
        <f>N15</f>
        <v>0</v>
      </c>
      <c r="O9" s="366"/>
      <c r="P9" s="365">
        <f>0.5*P21+0.3*P27+0.2*P33</f>
        <v>0.13477201745999981</v>
      </c>
      <c r="Q9" s="368">
        <f t="array" ref="Q9">SUM($C$3:$P$3*C9:P9)</f>
        <v>0.19293116682227116</v>
      </c>
      <c r="R9" s="369">
        <f>Q9*$R$3</f>
        <v>6.1970473507206815E-3</v>
      </c>
    </row>
    <row r="10" spans="1:18" ht="15.75" thickBot="1" x14ac:dyDescent="0.3">
      <c r="A10" s="975" t="s">
        <v>143</v>
      </c>
      <c r="B10" s="976"/>
      <c r="C10" s="375"/>
      <c r="D10" s="375"/>
      <c r="E10" s="375"/>
      <c r="F10" s="376">
        <f>SUM(F6:F9)</f>
        <v>1</v>
      </c>
      <c r="G10" s="377"/>
      <c r="H10" s="378">
        <f>SUM(H6:H9)</f>
        <v>1</v>
      </c>
      <c r="I10" s="377"/>
      <c r="J10" s="376">
        <f>SUM(J6:J9)</f>
        <v>1</v>
      </c>
      <c r="K10" s="377"/>
      <c r="L10" s="378">
        <f>SUM(L6:L9)</f>
        <v>1</v>
      </c>
      <c r="M10" s="377"/>
      <c r="N10" s="376">
        <f>SUM(N6:N9)</f>
        <v>0.99999999999999989</v>
      </c>
      <c r="O10" s="377"/>
      <c r="P10" s="378">
        <f>SUM(P6:P9)</f>
        <v>1</v>
      </c>
      <c r="Q10" s="379">
        <f>SUM(Q6:Q9)</f>
        <v>1</v>
      </c>
      <c r="R10" s="380">
        <f>SUM(R6:R9)</f>
        <v>3.2120509365028735E-2</v>
      </c>
    </row>
    <row r="11" spans="1:18" ht="15.75" thickBot="1" x14ac:dyDescent="0.3"/>
    <row r="12" spans="1:18" x14ac:dyDescent="0.25">
      <c r="A12" s="381">
        <v>51000</v>
      </c>
      <c r="B12" s="356" t="s">
        <v>24</v>
      </c>
      <c r="C12" s="382">
        <v>11789</v>
      </c>
      <c r="D12" s="382">
        <v>13304</v>
      </c>
      <c r="E12" s="382">
        <f>SUM(D12,C12)</f>
        <v>25093</v>
      </c>
      <c r="F12" s="360">
        <f>E12/$E$16</f>
        <v>0.4472506906692808</v>
      </c>
      <c r="G12" s="383">
        <v>1355.7266829985288</v>
      </c>
      <c r="H12" s="360">
        <f>G12/$G$16</f>
        <v>0.43415011788018132</v>
      </c>
      <c r="I12" s="383"/>
      <c r="J12" s="361">
        <v>0.54723850540812702</v>
      </c>
      <c r="K12" s="383">
        <v>114218.98999999999</v>
      </c>
      <c r="L12" s="360">
        <f>K12/$K$16</f>
        <v>0.40895386299401704</v>
      </c>
      <c r="M12" s="383"/>
      <c r="N12" s="360">
        <v>0.83450817802136679</v>
      </c>
    </row>
    <row r="13" spans="1:18" x14ac:dyDescent="0.25">
      <c r="A13" s="355">
        <v>52000</v>
      </c>
      <c r="B13" s="364" t="s">
        <v>25</v>
      </c>
      <c r="C13" s="384">
        <v>2070</v>
      </c>
      <c r="D13" s="384">
        <v>4118</v>
      </c>
      <c r="E13" s="384">
        <f>SUM(D13,C13)</f>
        <v>6188</v>
      </c>
      <c r="F13" s="365">
        <f>E13/$E$16</f>
        <v>0.11029320024953213</v>
      </c>
      <c r="G13" s="385">
        <v>441.94792259685869</v>
      </c>
      <c r="H13" s="365">
        <f>G13/$G$16</f>
        <v>0.14152686164438033</v>
      </c>
      <c r="I13" s="385"/>
      <c r="J13" s="367">
        <v>0.17164037131701576</v>
      </c>
      <c r="K13" s="385">
        <v>38225.25</v>
      </c>
      <c r="L13" s="365">
        <f>K13/$K$16</f>
        <v>0.13686308775285133</v>
      </c>
      <c r="M13" s="385"/>
      <c r="N13" s="365">
        <v>0</v>
      </c>
    </row>
    <row r="14" spans="1:18" x14ac:dyDescent="0.25">
      <c r="A14" s="355">
        <v>53000</v>
      </c>
      <c r="B14" s="364" t="s">
        <v>26</v>
      </c>
      <c r="C14" s="384">
        <v>7051</v>
      </c>
      <c r="D14" s="384">
        <v>8075</v>
      </c>
      <c r="E14" s="384">
        <f>SUM(D14,C14)</f>
        <v>15126</v>
      </c>
      <c r="F14" s="367">
        <f>E14/$E$16</f>
        <v>0.26960163978255058</v>
      </c>
      <c r="G14" s="385">
        <v>524.24596152479728</v>
      </c>
      <c r="H14" s="365">
        <f>G14/$G$16</f>
        <v>0.16788151243789212</v>
      </c>
      <c r="I14" s="385"/>
      <c r="J14" s="367">
        <v>0.18420984854298508</v>
      </c>
      <c r="K14" s="385">
        <v>64216.01</v>
      </c>
      <c r="L14" s="365">
        <f>K14/$K$16</f>
        <v>0.22992135857235674</v>
      </c>
      <c r="M14" s="385"/>
      <c r="N14" s="365">
        <v>0.16549182197863313</v>
      </c>
    </row>
    <row r="15" spans="1:18" ht="15" customHeight="1" thickBot="1" x14ac:dyDescent="0.3">
      <c r="A15" s="370">
        <v>54000</v>
      </c>
      <c r="B15" s="371" t="s">
        <v>27</v>
      </c>
      <c r="C15" s="386">
        <v>5638</v>
      </c>
      <c r="D15" s="384">
        <v>4060</v>
      </c>
      <c r="E15" s="386">
        <f>SUM(D15,C15)</f>
        <v>9698</v>
      </c>
      <c r="F15" s="374">
        <f>E15/$E$16</f>
        <v>0.17285446929863649</v>
      </c>
      <c r="G15" s="385">
        <v>800.79350610894699</v>
      </c>
      <c r="H15" s="365">
        <f>G15/$G$16</f>
        <v>0.25644150803754617</v>
      </c>
      <c r="I15" s="385"/>
      <c r="J15" s="367">
        <v>9.6911274731872221E-2</v>
      </c>
      <c r="K15" s="385">
        <v>62635.29</v>
      </c>
      <c r="L15" s="365">
        <f>K15/$K$16</f>
        <v>0.22426169068077495</v>
      </c>
      <c r="M15" s="385"/>
      <c r="N15" s="365">
        <v>0</v>
      </c>
    </row>
    <row r="16" spans="1:18" ht="15.75" thickBot="1" x14ac:dyDescent="0.3">
      <c r="A16" s="387">
        <v>2019</v>
      </c>
      <c r="B16" s="388" t="s">
        <v>143</v>
      </c>
      <c r="C16" s="389">
        <f t="shared" ref="C16:H16" si="0">SUM(C12:C15)</f>
        <v>26548</v>
      </c>
      <c r="D16" s="389">
        <f t="shared" si="0"/>
        <v>29557</v>
      </c>
      <c r="E16" s="389">
        <f t="shared" si="0"/>
        <v>56105</v>
      </c>
      <c r="F16" s="376">
        <f t="shared" si="0"/>
        <v>1</v>
      </c>
      <c r="G16" s="390">
        <f t="shared" si="0"/>
        <v>3122.7140732291318</v>
      </c>
      <c r="H16" s="378">
        <f t="shared" si="0"/>
        <v>1</v>
      </c>
      <c r="I16" s="390"/>
      <c r="J16" s="376">
        <f>SUM(J12:J15)</f>
        <v>1</v>
      </c>
      <c r="K16" s="390">
        <f>SUM(K12:K15)</f>
        <v>279295.53999999998</v>
      </c>
      <c r="L16" s="378">
        <f>SUM(L12:L15)</f>
        <v>1</v>
      </c>
      <c r="M16" s="390">
        <f>SUM(M12:M15)</f>
        <v>0</v>
      </c>
      <c r="N16" s="378">
        <f>SUM(N12:N15)</f>
        <v>0.99999999999999989</v>
      </c>
    </row>
    <row r="17" spans="1:16" ht="15.75" thickBot="1" x14ac:dyDescent="0.3"/>
    <row r="18" spans="1:16" x14ac:dyDescent="0.25">
      <c r="A18" s="381">
        <v>51000</v>
      </c>
      <c r="B18" s="356" t="s">
        <v>24</v>
      </c>
      <c r="C18" s="383">
        <v>12470</v>
      </c>
      <c r="D18" s="382">
        <v>12967</v>
      </c>
      <c r="E18" s="382">
        <f>C18+D18</f>
        <v>25437</v>
      </c>
      <c r="F18" s="360">
        <f>E18/$E$22</f>
        <v>0.41083743842364534</v>
      </c>
      <c r="G18" s="493"/>
      <c r="H18" s="420"/>
      <c r="I18" s="493"/>
      <c r="J18" s="420"/>
      <c r="K18" s="493"/>
      <c r="L18" s="420"/>
      <c r="O18" s="383">
        <v>11542</v>
      </c>
      <c r="P18" s="360">
        <f>O18/$O$22</f>
        <v>0.38828884249218859</v>
      </c>
    </row>
    <row r="19" spans="1:16" x14ac:dyDescent="0.25">
      <c r="A19" s="355">
        <v>52000</v>
      </c>
      <c r="B19" s="364" t="s">
        <v>25</v>
      </c>
      <c r="C19" s="385">
        <v>1337</v>
      </c>
      <c r="D19" s="384">
        <v>6148</v>
      </c>
      <c r="E19" s="384">
        <f>C19+D19</f>
        <v>7485</v>
      </c>
      <c r="F19" s="365">
        <f>E19/$E$22</f>
        <v>0.12089154485988855</v>
      </c>
      <c r="G19" s="493"/>
      <c r="H19" s="420"/>
      <c r="I19" s="493"/>
      <c r="J19" s="420"/>
      <c r="K19" s="493"/>
      <c r="L19" s="420"/>
      <c r="O19" s="385">
        <v>3668</v>
      </c>
      <c r="P19" s="365">
        <f>O19/$O$22</f>
        <v>0.12339659281418713</v>
      </c>
    </row>
    <row r="20" spans="1:16" x14ac:dyDescent="0.25">
      <c r="A20" s="355">
        <v>53000</v>
      </c>
      <c r="B20" s="364" t="s">
        <v>26</v>
      </c>
      <c r="C20" s="385">
        <v>7552</v>
      </c>
      <c r="D20" s="384">
        <v>9999</v>
      </c>
      <c r="E20" s="384">
        <f>C20+D20</f>
        <v>17551</v>
      </c>
      <c r="F20" s="365">
        <f>E20/$E$22</f>
        <v>0.28346927238956632</v>
      </c>
      <c r="G20" s="493"/>
      <c r="H20" s="420"/>
      <c r="I20" s="493"/>
      <c r="J20" s="420"/>
      <c r="K20" s="493"/>
      <c r="L20" s="420"/>
      <c r="O20" s="385">
        <v>11148</v>
      </c>
      <c r="P20" s="365">
        <f>O20/$O$22</f>
        <v>0.37503413759339099</v>
      </c>
    </row>
    <row r="21" spans="1:16" ht="15" customHeight="1" thickBot="1" x14ac:dyDescent="0.3">
      <c r="A21" s="370">
        <v>54000</v>
      </c>
      <c r="B21" s="371" t="s">
        <v>27</v>
      </c>
      <c r="C21" s="392">
        <v>5306</v>
      </c>
      <c r="D21" s="384">
        <v>6136</v>
      </c>
      <c r="E21" s="386">
        <f>C21+D21</f>
        <v>11442</v>
      </c>
      <c r="F21" s="374">
        <f>E21/$E$22</f>
        <v>0.18480174432689978</v>
      </c>
      <c r="G21" s="493"/>
      <c r="H21" s="420"/>
      <c r="I21" s="493"/>
      <c r="J21" s="420"/>
      <c r="K21" s="493"/>
      <c r="L21" s="420"/>
      <c r="O21" s="385">
        <v>3367.2940000000008</v>
      </c>
      <c r="P21" s="365">
        <f>O21/$O$22</f>
        <v>0.11328042710023324</v>
      </c>
    </row>
    <row r="22" spans="1:16" ht="15.75" thickBot="1" x14ac:dyDescent="0.3">
      <c r="A22" s="387">
        <v>2018</v>
      </c>
      <c r="B22" s="388" t="s">
        <v>143</v>
      </c>
      <c r="C22" s="390">
        <f>SUM(C18:C21)</f>
        <v>26665</v>
      </c>
      <c r="D22" s="389">
        <f>SUM(D18:D21)</f>
        <v>35250</v>
      </c>
      <c r="E22" s="389">
        <f>SUM(E18:E21)</f>
        <v>61915</v>
      </c>
      <c r="F22" s="378">
        <f>SUM(F18:F21)</f>
        <v>1</v>
      </c>
      <c r="G22" s="494"/>
      <c r="H22" s="422"/>
      <c r="I22" s="494"/>
      <c r="J22" s="422"/>
      <c r="K22" s="494"/>
      <c r="L22" s="422"/>
      <c r="O22" s="390">
        <f>SUM(O18:O21)</f>
        <v>29725.294000000002</v>
      </c>
      <c r="P22" s="378">
        <f>SUM(P18:P21)</f>
        <v>1</v>
      </c>
    </row>
    <row r="23" spans="1:16" ht="15.75" thickBot="1" x14ac:dyDescent="0.3">
      <c r="J23" s="393"/>
    </row>
    <row r="24" spans="1:16" x14ac:dyDescent="0.25">
      <c r="A24" s="381">
        <v>51000</v>
      </c>
      <c r="B24" s="356" t="s">
        <v>24</v>
      </c>
      <c r="C24" s="383">
        <v>11774</v>
      </c>
      <c r="D24" s="382">
        <v>10821</v>
      </c>
      <c r="E24" s="382">
        <f>C24+D24</f>
        <v>22595</v>
      </c>
      <c r="F24" s="360">
        <f>E24/$E$28</f>
        <v>0.37059209447269148</v>
      </c>
      <c r="G24" s="391"/>
      <c r="H24" s="391"/>
      <c r="I24" s="391"/>
      <c r="J24" s="391"/>
      <c r="K24" s="391"/>
      <c r="L24" s="391"/>
      <c r="O24" s="383">
        <v>11543</v>
      </c>
      <c r="P24" s="360">
        <f>O24/$O$28</f>
        <v>0.42754196998731669</v>
      </c>
    </row>
    <row r="25" spans="1:16" x14ac:dyDescent="0.25">
      <c r="A25" s="355">
        <v>52000</v>
      </c>
      <c r="B25" s="364" t="s">
        <v>25</v>
      </c>
      <c r="C25" s="385">
        <v>3072</v>
      </c>
      <c r="D25" s="384">
        <v>6024</v>
      </c>
      <c r="E25" s="384">
        <f>C25+D25</f>
        <v>9096</v>
      </c>
      <c r="F25" s="365">
        <f>E25/$E$28</f>
        <v>0.14918812530752829</v>
      </c>
      <c r="G25" s="391"/>
      <c r="H25" s="391"/>
      <c r="I25" s="391"/>
      <c r="J25" s="391"/>
      <c r="K25" s="391"/>
      <c r="L25" s="391"/>
      <c r="O25" s="385">
        <v>6289</v>
      </c>
      <c r="P25" s="365">
        <f>O25/$O$28</f>
        <v>0.23293870304515593</v>
      </c>
    </row>
    <row r="26" spans="1:16" x14ac:dyDescent="0.25">
      <c r="A26" s="355">
        <v>53000</v>
      </c>
      <c r="B26" s="364" t="s">
        <v>26</v>
      </c>
      <c r="C26" s="385">
        <v>6594</v>
      </c>
      <c r="D26" s="384">
        <v>9986</v>
      </c>
      <c r="E26" s="384">
        <f>C26+D26</f>
        <v>16580</v>
      </c>
      <c r="F26" s="365">
        <f>E26/$E$28</f>
        <v>0.2719370182056749</v>
      </c>
      <c r="G26" s="391"/>
      <c r="H26" s="391"/>
      <c r="I26" s="391"/>
      <c r="J26" s="391"/>
      <c r="K26" s="391"/>
      <c r="L26" s="391"/>
      <c r="O26" s="385">
        <v>5420</v>
      </c>
      <c r="P26" s="365">
        <f>O26/$O$28</f>
        <v>0.20075175234611942</v>
      </c>
    </row>
    <row r="27" spans="1:16" ht="15" customHeight="1" thickBot="1" x14ac:dyDescent="0.3">
      <c r="A27" s="370">
        <v>54000</v>
      </c>
      <c r="B27" s="371" t="s">
        <v>27</v>
      </c>
      <c r="C27" s="392">
        <v>7818</v>
      </c>
      <c r="D27" s="384">
        <v>4881</v>
      </c>
      <c r="E27" s="386">
        <f>C27+D27</f>
        <v>12699</v>
      </c>
      <c r="F27" s="374">
        <f>E27/$E$28</f>
        <v>0.20828276201410531</v>
      </c>
      <c r="G27" s="391"/>
      <c r="H27" s="391"/>
      <c r="I27" s="391"/>
      <c r="J27" s="391"/>
      <c r="K27" s="391"/>
      <c r="L27" s="391"/>
      <c r="O27" s="385">
        <v>3746.5190000000002</v>
      </c>
      <c r="P27" s="365">
        <f>O27/$O$28</f>
        <v>0.13876757462140796</v>
      </c>
    </row>
    <row r="28" spans="1:16" ht="15.75" thickBot="1" x14ac:dyDescent="0.3">
      <c r="A28" s="387">
        <v>2017</v>
      </c>
      <c r="B28" s="388" t="s">
        <v>143</v>
      </c>
      <c r="C28" s="390">
        <f>SUM(C24:C27)</f>
        <v>29258</v>
      </c>
      <c r="D28" s="389">
        <f>SUM(D24:D27)</f>
        <v>31712</v>
      </c>
      <c r="E28" s="389">
        <f>SUM(E24:E27)</f>
        <v>60970</v>
      </c>
      <c r="F28" s="378">
        <f>SUM(F24:F27)</f>
        <v>0.99999999999999989</v>
      </c>
      <c r="G28" s="391"/>
      <c r="H28" s="391"/>
      <c r="I28" s="391"/>
      <c r="J28" s="391"/>
      <c r="K28" s="391"/>
      <c r="L28" s="391"/>
      <c r="O28" s="390">
        <f>SUM(O24:O27)</f>
        <v>26998.519</v>
      </c>
      <c r="P28" s="378">
        <f>SUM(P24:P27)</f>
        <v>1</v>
      </c>
    </row>
    <row r="29" spans="1:16" ht="15.75" thickBot="1" x14ac:dyDescent="0.3">
      <c r="G29" s="391"/>
      <c r="H29" s="391"/>
      <c r="I29" s="391"/>
      <c r="J29" s="391"/>
      <c r="K29" s="391"/>
      <c r="L29" s="391"/>
    </row>
    <row r="30" spans="1:16" x14ac:dyDescent="0.25">
      <c r="A30" s="381">
        <v>51000</v>
      </c>
      <c r="B30" s="356" t="s">
        <v>24</v>
      </c>
      <c r="G30" s="391"/>
      <c r="H30" s="391"/>
      <c r="I30" s="391"/>
      <c r="J30" s="391"/>
      <c r="K30" s="391"/>
      <c r="L30" s="391"/>
      <c r="O30" s="383">
        <v>11710</v>
      </c>
      <c r="P30" s="360">
        <f>O30/$O$34</f>
        <v>0.4464004910024188</v>
      </c>
    </row>
    <row r="31" spans="1:16" x14ac:dyDescent="0.25">
      <c r="A31" s="355">
        <v>52000</v>
      </c>
      <c r="B31" s="364" t="s">
        <v>25</v>
      </c>
      <c r="G31" s="391"/>
      <c r="H31" s="391"/>
      <c r="I31" s="391"/>
      <c r="J31" s="391"/>
      <c r="K31" s="391"/>
      <c r="L31" s="391"/>
      <c r="O31" s="385">
        <v>6190.5</v>
      </c>
      <c r="P31" s="365">
        <f>O31/$O$34</f>
        <v>0.23598994359952807</v>
      </c>
    </row>
    <row r="32" spans="1:16" x14ac:dyDescent="0.25">
      <c r="A32" s="355">
        <v>53000</v>
      </c>
      <c r="B32" s="364" t="s">
        <v>26</v>
      </c>
      <c r="G32" s="391"/>
      <c r="H32" s="391"/>
      <c r="I32" s="391"/>
      <c r="J32" s="391"/>
      <c r="K32" s="391"/>
      <c r="L32" s="391"/>
      <c r="O32" s="385">
        <v>3544</v>
      </c>
      <c r="P32" s="365">
        <f>O32/$O$34</f>
        <v>0.13510190778074913</v>
      </c>
    </row>
    <row r="33" spans="1:16" ht="15" customHeight="1" thickBot="1" x14ac:dyDescent="0.3">
      <c r="A33" s="370">
        <v>54000</v>
      </c>
      <c r="B33" s="371" t="s">
        <v>27</v>
      </c>
      <c r="G33" s="391"/>
      <c r="H33" s="391"/>
      <c r="I33" s="391"/>
      <c r="J33" s="391"/>
      <c r="K33" s="391"/>
      <c r="L33" s="391"/>
      <c r="O33" s="385">
        <v>4787.55</v>
      </c>
      <c r="P33" s="365">
        <f>O33/$O$34</f>
        <v>0.18250765761730403</v>
      </c>
    </row>
    <row r="34" spans="1:16" ht="15.75" thickBot="1" x14ac:dyDescent="0.3">
      <c r="A34" s="387">
        <v>2016</v>
      </c>
      <c r="B34" s="388" t="s">
        <v>143</v>
      </c>
      <c r="G34" s="391"/>
      <c r="H34" s="391"/>
      <c r="I34" s="391"/>
      <c r="J34" s="391"/>
      <c r="K34" s="391"/>
      <c r="L34" s="391"/>
      <c r="O34" s="390">
        <f>SUM(O30:O33)</f>
        <v>26232.05</v>
      </c>
      <c r="P34" s="378">
        <f>SUM(P30:P33)</f>
        <v>1</v>
      </c>
    </row>
    <row r="35" spans="1:16" x14ac:dyDescent="0.25">
      <c r="I35" s="393"/>
    </row>
    <row r="36" spans="1:16" x14ac:dyDescent="0.25">
      <c r="A36" s="41" t="s">
        <v>311</v>
      </c>
    </row>
    <row r="37" spans="1:16" x14ac:dyDescent="0.25">
      <c r="A37" s="41"/>
    </row>
  </sheetData>
  <mergeCells count="12">
    <mergeCell ref="K4:L4"/>
    <mergeCell ref="M4:N4"/>
    <mergeCell ref="O4:P4"/>
    <mergeCell ref="Q4:Q5"/>
    <mergeCell ref="R4:R5"/>
    <mergeCell ref="G4:H4"/>
    <mergeCell ref="I4:J4"/>
    <mergeCell ref="A10:B10"/>
    <mergeCell ref="A3:B3"/>
    <mergeCell ref="A4:A5"/>
    <mergeCell ref="B4:B5"/>
    <mergeCell ref="C4:F4"/>
  </mergeCells>
  <hyperlinks>
    <hyperlink ref="A36" location="'0 Seznam'!A1" display="Seznam"/>
  </hyperlinks>
  <pageMargins left="0.70866141732283472" right="0.70866141732283472" top="0.78740157480314965" bottom="0.78740157480314965" header="0.31496062992125984" footer="0.31496062992125984"/>
  <pageSetup paperSize="9" scale="66" orientation="landscape" r:id="rId1"/>
  <headerFooter>
    <oddHeader xml:space="preserve">&amp;LČ. j. MSMT-1753/2020-1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D966"/>
  </sheetPr>
  <dimension ref="A1:J22"/>
  <sheetViews>
    <sheetView zoomScale="85" zoomScaleNormal="85" workbookViewId="0">
      <selection activeCell="A22" sqref="A22"/>
    </sheetView>
  </sheetViews>
  <sheetFormatPr defaultRowHeight="15" x14ac:dyDescent="0.25"/>
  <cols>
    <col min="1" max="1" width="10.5703125" style="43" customWidth="1"/>
    <col min="2" max="2" width="61.5703125" style="43" bestFit="1" customWidth="1"/>
    <col min="3" max="8" width="11" style="43" customWidth="1"/>
    <col min="9" max="10" width="15.85546875" style="43" customWidth="1"/>
    <col min="11" max="16384" width="9.140625" style="43"/>
  </cols>
  <sheetData>
    <row r="1" spans="1:10" ht="27.75" x14ac:dyDescent="0.25">
      <c r="A1" s="341" t="s">
        <v>148</v>
      </c>
    </row>
    <row r="2" spans="1:10" ht="15.75" thickBot="1" x14ac:dyDescent="0.3"/>
    <row r="3" spans="1:10" ht="15.75" customHeight="1" thickBot="1" x14ac:dyDescent="0.3">
      <c r="A3" s="977" t="s">
        <v>132</v>
      </c>
      <c r="B3" s="978"/>
      <c r="C3" s="342"/>
      <c r="D3" s="344">
        <v>0.4</v>
      </c>
      <c r="E3" s="342"/>
      <c r="F3" s="344">
        <v>0.2</v>
      </c>
      <c r="G3" s="342"/>
      <c r="H3" s="343">
        <v>0.4</v>
      </c>
      <c r="I3" s="394">
        <f>SUM(D3:H3)</f>
        <v>1</v>
      </c>
      <c r="J3" s="348">
        <v>1.3489709688494059E-2</v>
      </c>
    </row>
    <row r="4" spans="1:10" ht="30" customHeight="1" x14ac:dyDescent="0.25">
      <c r="A4" s="979" t="s">
        <v>2</v>
      </c>
      <c r="B4" s="981" t="s">
        <v>3</v>
      </c>
      <c r="C4" s="973" t="s">
        <v>144</v>
      </c>
      <c r="D4" s="974"/>
      <c r="E4" s="973" t="s">
        <v>133</v>
      </c>
      <c r="F4" s="974"/>
      <c r="G4" s="973" t="s">
        <v>145</v>
      </c>
      <c r="H4" s="990"/>
      <c r="I4" s="986" t="s">
        <v>138</v>
      </c>
      <c r="J4" s="986" t="s">
        <v>139</v>
      </c>
    </row>
    <row r="5" spans="1:10" ht="15.75" thickBot="1" x14ac:dyDescent="0.3">
      <c r="A5" s="980"/>
      <c r="B5" s="982"/>
      <c r="C5" s="353" t="s">
        <v>30</v>
      </c>
      <c r="D5" s="354" t="s">
        <v>142</v>
      </c>
      <c r="E5" s="395" t="s">
        <v>140</v>
      </c>
      <c r="F5" s="352" t="s">
        <v>142</v>
      </c>
      <c r="G5" s="353" t="s">
        <v>30</v>
      </c>
      <c r="H5" s="396" t="s">
        <v>142</v>
      </c>
      <c r="I5" s="987"/>
      <c r="J5" s="987"/>
    </row>
    <row r="6" spans="1:10" x14ac:dyDescent="0.25">
      <c r="A6" s="397">
        <v>55000</v>
      </c>
      <c r="B6" s="398" t="s">
        <v>28</v>
      </c>
      <c r="C6" s="399"/>
      <c r="D6" s="400">
        <f>D10</f>
        <v>0.49980928511609507</v>
      </c>
      <c r="E6" s="399"/>
      <c r="F6" s="400">
        <f>0.5*F10+0.3*F14+0.2*F18</f>
        <v>0.29956829346482239</v>
      </c>
      <c r="G6" s="399"/>
      <c r="H6" s="401">
        <f>H10</f>
        <v>0.54096272855201466</v>
      </c>
      <c r="I6" s="402">
        <f t="array" ref="I6">SUM($C$3:$H$3*C6:H6)</f>
        <v>0.47622246416020841</v>
      </c>
      <c r="J6" s="402">
        <f>I6*$J$3</f>
        <v>6.4241027886604782E-3</v>
      </c>
    </row>
    <row r="7" spans="1:10" ht="15" customHeight="1" thickBot="1" x14ac:dyDescent="0.3">
      <c r="A7" s="403">
        <v>56000</v>
      </c>
      <c r="B7" s="404" t="s">
        <v>29</v>
      </c>
      <c r="C7" s="405"/>
      <c r="D7" s="406">
        <f>D11</f>
        <v>0.50019071488390487</v>
      </c>
      <c r="E7" s="407"/>
      <c r="F7" s="408">
        <f>0.5*F11+0.3*F15+0.2*F19</f>
        <v>0.70043170653517761</v>
      </c>
      <c r="G7" s="405"/>
      <c r="H7" s="409">
        <f>H11</f>
        <v>0.4590372714479854</v>
      </c>
      <c r="I7" s="410">
        <f t="array" ref="I7">SUM($C$3:$H$3*C7:H7)</f>
        <v>0.5237775358397917</v>
      </c>
      <c r="J7" s="410">
        <f>I7*$J$3</f>
        <v>7.0656068998335821E-3</v>
      </c>
    </row>
    <row r="8" spans="1:10" ht="15.75" thickBot="1" x14ac:dyDescent="0.3">
      <c r="A8" s="988" t="s">
        <v>143</v>
      </c>
      <c r="B8" s="989"/>
      <c r="C8" s="411"/>
      <c r="D8" s="412">
        <f>SUM(D6:D7)</f>
        <v>1</v>
      </c>
      <c r="E8" s="413"/>
      <c r="F8" s="414">
        <f>SUM(F6:F7)</f>
        <v>1</v>
      </c>
      <c r="G8" s="411"/>
      <c r="H8" s="414">
        <f>SUM(H6:H7)</f>
        <v>1</v>
      </c>
      <c r="I8" s="415">
        <f>SUM(I6:I7)</f>
        <v>1</v>
      </c>
      <c r="J8" s="415">
        <f>SUM(J6:J7)</f>
        <v>1.3489709688494059E-2</v>
      </c>
    </row>
    <row r="9" spans="1:10" ht="15.75" thickBot="1" x14ac:dyDescent="0.3">
      <c r="C9" s="12"/>
      <c r="E9" s="12"/>
      <c r="G9" s="12"/>
    </row>
    <row r="10" spans="1:10" x14ac:dyDescent="0.25">
      <c r="A10" s="416">
        <v>55000</v>
      </c>
      <c r="B10" s="398" t="s">
        <v>28</v>
      </c>
      <c r="C10" s="399">
        <v>1052.2996500437446</v>
      </c>
      <c r="D10" s="400">
        <f>C10/$C$12</f>
        <v>0.49980928511609507</v>
      </c>
      <c r="E10" s="399">
        <v>2025</v>
      </c>
      <c r="F10" s="400">
        <f>E10/$E$12</f>
        <v>0.28093784683684797</v>
      </c>
      <c r="G10" s="399">
        <v>552.00406821006845</v>
      </c>
      <c r="H10" s="400">
        <f>G10/$G$12</f>
        <v>0.54096272855201466</v>
      </c>
    </row>
    <row r="11" spans="1:10" ht="15" customHeight="1" thickBot="1" x14ac:dyDescent="0.3">
      <c r="A11" s="403">
        <v>56000</v>
      </c>
      <c r="B11" s="404" t="s">
        <v>29</v>
      </c>
      <c r="C11" s="405">
        <v>1053.1027131782946</v>
      </c>
      <c r="D11" s="406">
        <f>C11/$C$12</f>
        <v>0.50019071488390487</v>
      </c>
      <c r="E11" s="407">
        <v>5183</v>
      </c>
      <c r="F11" s="408">
        <f>E11/$E$12</f>
        <v>0.71906215316315203</v>
      </c>
      <c r="G11" s="405">
        <v>468.40646855206302</v>
      </c>
      <c r="H11" s="406">
        <f>G11/$G$12</f>
        <v>0.4590372714479854</v>
      </c>
    </row>
    <row r="12" spans="1:10" ht="15.75" thickBot="1" x14ac:dyDescent="0.3">
      <c r="A12" s="417">
        <v>2019</v>
      </c>
      <c r="B12" s="418" t="s">
        <v>143</v>
      </c>
      <c r="C12" s="411">
        <f t="shared" ref="C12:H12" si="0">SUM(C10:C11)</f>
        <v>2105.4023632220392</v>
      </c>
      <c r="D12" s="412">
        <f t="shared" si="0"/>
        <v>1</v>
      </c>
      <c r="E12" s="413">
        <f t="shared" si="0"/>
        <v>7208</v>
      </c>
      <c r="F12" s="414">
        <f t="shared" si="0"/>
        <v>1</v>
      </c>
      <c r="G12" s="411">
        <f t="shared" si="0"/>
        <v>1020.4105367621314</v>
      </c>
      <c r="H12" s="412">
        <f t="shared" si="0"/>
        <v>1</v>
      </c>
    </row>
    <row r="13" spans="1:10" ht="15.75" thickBot="1" x14ac:dyDescent="0.3">
      <c r="C13" s="12"/>
      <c r="E13" s="12"/>
      <c r="G13" s="12"/>
    </row>
    <row r="14" spans="1:10" x14ac:dyDescent="0.25">
      <c r="A14" s="416">
        <v>55000</v>
      </c>
      <c r="B14" s="398" t="s">
        <v>28</v>
      </c>
      <c r="D14" s="393"/>
      <c r="E14" s="399">
        <v>2576</v>
      </c>
      <c r="F14" s="400">
        <f>E14/$E$16</f>
        <v>0.26836128763412853</v>
      </c>
      <c r="G14" s="393"/>
      <c r="H14" s="393"/>
    </row>
    <row r="15" spans="1:10" ht="15" customHeight="1" thickBot="1" x14ac:dyDescent="0.3">
      <c r="A15" s="403">
        <v>56000</v>
      </c>
      <c r="B15" s="404" t="s">
        <v>29</v>
      </c>
      <c r="C15" s="419"/>
      <c r="D15" s="420"/>
      <c r="E15" s="407">
        <v>7023</v>
      </c>
      <c r="F15" s="408">
        <f>E15/$E$16</f>
        <v>0.73163871236587141</v>
      </c>
      <c r="G15" s="391"/>
      <c r="H15" s="420"/>
    </row>
    <row r="16" spans="1:10" ht="15.75" thickBot="1" x14ac:dyDescent="0.3">
      <c r="A16" s="417">
        <v>2018</v>
      </c>
      <c r="B16" s="418" t="s">
        <v>143</v>
      </c>
      <c r="C16" s="419"/>
      <c r="D16" s="420"/>
      <c r="E16" s="411">
        <f>SUM(E14:E15)</f>
        <v>9599</v>
      </c>
      <c r="F16" s="412">
        <f>SUM(F14:F15)</f>
        <v>1</v>
      </c>
      <c r="G16" s="391"/>
      <c r="H16" s="420"/>
    </row>
    <row r="17" spans="1:8" ht="15.75" thickBot="1" x14ac:dyDescent="0.3">
      <c r="C17" s="421"/>
      <c r="D17" s="422"/>
      <c r="E17" s="497"/>
      <c r="F17" s="393"/>
      <c r="G17" s="496"/>
      <c r="H17" s="422"/>
    </row>
    <row r="18" spans="1:8" x14ac:dyDescent="0.25">
      <c r="A18" s="416">
        <v>55000</v>
      </c>
      <c r="B18" s="398" t="s">
        <v>28</v>
      </c>
      <c r="C18" s="391"/>
      <c r="D18" s="391"/>
      <c r="E18" s="399">
        <v>4306</v>
      </c>
      <c r="F18" s="400">
        <f>E18/$E$20</f>
        <v>0.39295491878079941</v>
      </c>
      <c r="G18" s="391"/>
      <c r="H18" s="391"/>
    </row>
    <row r="19" spans="1:8" ht="15" customHeight="1" thickBot="1" x14ac:dyDescent="0.3">
      <c r="A19" s="403">
        <v>56000</v>
      </c>
      <c r="B19" s="404" t="s">
        <v>29</v>
      </c>
      <c r="E19" s="407">
        <v>6652</v>
      </c>
      <c r="F19" s="408">
        <f>E19/$E$20</f>
        <v>0.60704508121920053</v>
      </c>
      <c r="G19" s="393"/>
      <c r="H19" s="393"/>
    </row>
    <row r="20" spans="1:8" ht="15.75" thickBot="1" x14ac:dyDescent="0.3">
      <c r="A20" s="417">
        <v>2017</v>
      </c>
      <c r="B20" s="418" t="s">
        <v>143</v>
      </c>
      <c r="E20" s="411">
        <f>SUM(E18:E19)</f>
        <v>10958</v>
      </c>
      <c r="F20" s="412">
        <f>SUM(F18:F19)</f>
        <v>1</v>
      </c>
      <c r="G20" s="393"/>
      <c r="H20" s="393"/>
    </row>
    <row r="21" spans="1:8" x14ac:dyDescent="0.25">
      <c r="E21" s="12"/>
    </row>
    <row r="22" spans="1:8" x14ac:dyDescent="0.25">
      <c r="A22" s="41" t="s">
        <v>311</v>
      </c>
    </row>
  </sheetData>
  <mergeCells count="9">
    <mergeCell ref="I4:I5"/>
    <mergeCell ref="J4:J5"/>
    <mergeCell ref="A8:B8"/>
    <mergeCell ref="A3:B3"/>
    <mergeCell ref="A4:A5"/>
    <mergeCell ref="B4:B5"/>
    <mergeCell ref="C4:D4"/>
    <mergeCell ref="E4:F4"/>
    <mergeCell ref="G4:H4"/>
  </mergeCells>
  <hyperlinks>
    <hyperlink ref="A22" location="'0 Seznam'!A1" display="Seznam"/>
  </hyperlinks>
  <pageMargins left="0.70866141732283472" right="0.70866141732283472" top="0.78740157480314965" bottom="0.78740157480314965" header="0.31496062992125984" footer="0.31496062992125984"/>
  <pageSetup paperSize="9" scale="66" orientation="landscape" r:id="rId1"/>
  <headerFooter>
    <oddHeader xml:space="preserve">&amp;LČ. j. MSMT-1753/2020-1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4B084"/>
  </sheetPr>
  <dimension ref="A1:V91"/>
  <sheetViews>
    <sheetView zoomScale="85" zoomScaleNormal="85" workbookViewId="0"/>
  </sheetViews>
  <sheetFormatPr defaultRowHeight="15" x14ac:dyDescent="0.25"/>
  <cols>
    <col min="1" max="1" width="10.5703125" style="43" customWidth="1"/>
    <col min="2" max="2" width="52.28515625" style="43" customWidth="1"/>
    <col min="3" max="20" width="10.85546875" style="43" customWidth="1"/>
    <col min="21" max="22" width="15.7109375" style="43" customWidth="1"/>
    <col min="23" max="16384" width="9.140625" style="43"/>
  </cols>
  <sheetData>
    <row r="1" spans="1:22" ht="27.75" x14ac:dyDescent="0.25">
      <c r="A1" s="341" t="s">
        <v>149</v>
      </c>
    </row>
    <row r="2" spans="1:22" ht="15.75" thickBot="1" x14ac:dyDescent="0.3"/>
    <row r="3" spans="1:22" ht="15.75" customHeight="1" thickBot="1" x14ac:dyDescent="0.3">
      <c r="A3" s="977" t="s">
        <v>132</v>
      </c>
      <c r="B3" s="978"/>
      <c r="C3" s="342"/>
      <c r="D3" s="346">
        <v>0.15</v>
      </c>
      <c r="E3" s="345"/>
      <c r="F3" s="423"/>
      <c r="G3" s="423"/>
      <c r="H3" s="346">
        <v>0.22</v>
      </c>
      <c r="I3" s="345"/>
      <c r="J3" s="346">
        <v>0.1</v>
      </c>
      <c r="K3" s="345"/>
      <c r="L3" s="346">
        <v>0.3</v>
      </c>
      <c r="M3" s="345"/>
      <c r="N3" s="346">
        <v>0.03</v>
      </c>
      <c r="O3" s="345"/>
      <c r="P3" s="346">
        <v>3.5000000000000003E-2</v>
      </c>
      <c r="Q3" s="345"/>
      <c r="R3" s="346">
        <v>6.5000000000000002E-2</v>
      </c>
      <c r="S3" s="345"/>
      <c r="T3" s="346">
        <v>0.1</v>
      </c>
      <c r="U3" s="424">
        <f>SUM(C3:T3)</f>
        <v>1.0000000000000002</v>
      </c>
      <c r="V3" s="348">
        <v>0.39654274925783739</v>
      </c>
    </row>
    <row r="4" spans="1:22" ht="30" customHeight="1" x14ac:dyDescent="0.25">
      <c r="A4" s="979" t="s">
        <v>2</v>
      </c>
      <c r="B4" s="981" t="s">
        <v>3</v>
      </c>
      <c r="C4" s="973" t="s">
        <v>144</v>
      </c>
      <c r="D4" s="974"/>
      <c r="E4" s="991" t="s">
        <v>133</v>
      </c>
      <c r="F4" s="992"/>
      <c r="G4" s="992"/>
      <c r="H4" s="993"/>
      <c r="I4" s="973" t="s">
        <v>134</v>
      </c>
      <c r="J4" s="974"/>
      <c r="K4" s="979" t="s">
        <v>135</v>
      </c>
      <c r="L4" s="996"/>
      <c r="M4" s="979" t="s">
        <v>136</v>
      </c>
      <c r="N4" s="996"/>
      <c r="O4" s="979" t="s">
        <v>218</v>
      </c>
      <c r="P4" s="996"/>
      <c r="Q4" s="979" t="s">
        <v>137</v>
      </c>
      <c r="R4" s="996"/>
      <c r="S4" s="979" t="s">
        <v>146</v>
      </c>
      <c r="T4" s="996"/>
      <c r="U4" s="986" t="s">
        <v>138</v>
      </c>
      <c r="V4" s="986" t="s">
        <v>139</v>
      </c>
    </row>
    <row r="5" spans="1:22" ht="15.75" thickBot="1" x14ac:dyDescent="0.3">
      <c r="A5" s="980"/>
      <c r="B5" s="982"/>
      <c r="C5" s="353" t="s">
        <v>30</v>
      </c>
      <c r="D5" s="354" t="s">
        <v>142</v>
      </c>
      <c r="E5" s="349" t="s">
        <v>140</v>
      </c>
      <c r="F5" s="350" t="s">
        <v>141</v>
      </c>
      <c r="G5" s="351" t="s">
        <v>30</v>
      </c>
      <c r="H5" s="352" t="s">
        <v>142</v>
      </c>
      <c r="I5" s="353" t="s">
        <v>30</v>
      </c>
      <c r="J5" s="354" t="s">
        <v>142</v>
      </c>
      <c r="K5" s="353" t="s">
        <v>30</v>
      </c>
      <c r="L5" s="354" t="s">
        <v>142</v>
      </c>
      <c r="M5" s="353" t="s">
        <v>30</v>
      </c>
      <c r="N5" s="354" t="s">
        <v>142</v>
      </c>
      <c r="O5" s="353" t="s">
        <v>30</v>
      </c>
      <c r="P5" s="354" t="s">
        <v>142</v>
      </c>
      <c r="Q5" s="353" t="s">
        <v>30</v>
      </c>
      <c r="R5" s="354" t="s">
        <v>142</v>
      </c>
      <c r="S5" s="353" t="s">
        <v>30</v>
      </c>
      <c r="T5" s="354" t="s">
        <v>142</v>
      </c>
      <c r="U5" s="987"/>
      <c r="V5" s="987"/>
    </row>
    <row r="6" spans="1:22" x14ac:dyDescent="0.25">
      <c r="A6" s="425">
        <v>12000</v>
      </c>
      <c r="B6" s="426" t="s">
        <v>5</v>
      </c>
      <c r="C6" s="427"/>
      <c r="D6" s="428">
        <f>D23</f>
        <v>7.5447193247877437E-2</v>
      </c>
      <c r="E6" s="427"/>
      <c r="F6" s="429"/>
      <c r="G6" s="430"/>
      <c r="H6" s="428">
        <f>0.5*H23+0.3*H40+0.2*H57</f>
        <v>4.1027491751805936E-2</v>
      </c>
      <c r="I6" s="427"/>
      <c r="J6" s="428">
        <f>J23</f>
        <v>7.8735936542816048E-2</v>
      </c>
      <c r="K6" s="427"/>
      <c r="L6" s="431">
        <f>L23</f>
        <v>0.11423449068642254</v>
      </c>
      <c r="M6" s="427"/>
      <c r="N6" s="428">
        <f>N23</f>
        <v>1.9243290819190205E-2</v>
      </c>
      <c r="O6" s="427"/>
      <c r="P6" s="431">
        <f>P23</f>
        <v>4.0271638604364189E-2</v>
      </c>
      <c r="Q6" s="427"/>
      <c r="R6" s="428">
        <f>0.5*R40+0.3*R57+0.2*R74</f>
        <v>7.6982105523094299E-2</v>
      </c>
      <c r="S6" s="427"/>
      <c r="T6" s="428">
        <f>0.65*T40+0.35*T57</f>
        <v>0.11076286856125779</v>
      </c>
      <c r="U6" s="432">
        <f t="array" ref="U6">SUM($C$3:$T$3*C6:T6)</f>
        <v>8.0553997823642642E-2</v>
      </c>
      <c r="V6" s="433">
        <f>U6*$V$3</f>
        <v>3.1943103760697103E-2</v>
      </c>
    </row>
    <row r="7" spans="1:22" ht="15" customHeight="1" x14ac:dyDescent="0.25">
      <c r="A7" s="425">
        <v>13000</v>
      </c>
      <c r="B7" s="434" t="s">
        <v>6</v>
      </c>
      <c r="C7" s="435"/>
      <c r="D7" s="436">
        <f t="shared" ref="D7:D20" si="0">D24</f>
        <v>4.5314500829214371E-2</v>
      </c>
      <c r="E7" s="429"/>
      <c r="F7" s="429"/>
      <c r="G7" s="429"/>
      <c r="H7" s="436">
        <f t="shared" ref="H7:H20" si="1">0.5*H24+0.3*H41+0.2*H58</f>
        <v>3.6660419762199012E-2</v>
      </c>
      <c r="I7" s="435"/>
      <c r="J7" s="436">
        <f t="shared" ref="J7:J20" si="2">J24</f>
        <v>5.4540521658063446E-2</v>
      </c>
      <c r="K7" s="435"/>
      <c r="L7" s="437">
        <f t="shared" ref="L7:L20" si="3">L24</f>
        <v>2.9211035163357435E-2</v>
      </c>
      <c r="M7" s="435"/>
      <c r="N7" s="436">
        <f t="shared" ref="N7:N20" si="4">N24</f>
        <v>0.16785858641792539</v>
      </c>
      <c r="O7" s="435"/>
      <c r="P7" s="437">
        <f t="shared" ref="P7:P20" si="5">P24</f>
        <v>1.8618966038490333E-3</v>
      </c>
      <c r="Q7" s="435"/>
      <c r="R7" s="436">
        <f t="shared" ref="R7:R20" si="6">0.5*R41+0.3*R58+0.2*R75</f>
        <v>2.6901241104906333E-2</v>
      </c>
      <c r="S7" s="435"/>
      <c r="T7" s="436">
        <f t="shared" ref="T7:T20" si="7">0.65*T41+0.35*T58</f>
        <v>3.1318657601031433E-2</v>
      </c>
      <c r="U7" s="438">
        <f t="array" ref="U7">SUM($C$3:$T$3*C7:T7)</f>
        <v>3.9061200592474053E-2</v>
      </c>
      <c r="V7" s="439">
        <f t="shared" ref="V7:V20" si="8">U7*$V$3</f>
        <v>1.5489435872251527E-2</v>
      </c>
    </row>
    <row r="8" spans="1:22" x14ac:dyDescent="0.25">
      <c r="A8" s="425">
        <v>16000</v>
      </c>
      <c r="B8" s="434" t="s">
        <v>9</v>
      </c>
      <c r="C8" s="435"/>
      <c r="D8" s="436">
        <f t="shared" si="0"/>
        <v>2.8524760211447116E-2</v>
      </c>
      <c r="E8" s="429"/>
      <c r="F8" s="429"/>
      <c r="G8" s="429"/>
      <c r="H8" s="437">
        <f t="shared" si="1"/>
        <v>2.0330655217045593E-2</v>
      </c>
      <c r="I8" s="435"/>
      <c r="J8" s="436">
        <f t="shared" si="2"/>
        <v>4.7262308365507856E-2</v>
      </c>
      <c r="K8" s="435"/>
      <c r="L8" s="437">
        <f t="shared" si="3"/>
        <v>2.9880362503595163E-2</v>
      </c>
      <c r="M8" s="435"/>
      <c r="N8" s="436">
        <f t="shared" si="4"/>
        <v>0</v>
      </c>
      <c r="O8" s="435"/>
      <c r="P8" s="437">
        <f t="shared" si="5"/>
        <v>0.13162534122436906</v>
      </c>
      <c r="Q8" s="435"/>
      <c r="R8" s="436">
        <f t="shared" si="6"/>
        <v>1.8533212511304589E-2</v>
      </c>
      <c r="S8" s="435"/>
      <c r="T8" s="436">
        <f t="shared" si="7"/>
        <v>4.3106775722498311E-2</v>
      </c>
      <c r="U8" s="439">
        <f t="array" ref="U8">SUM($C$3:$T$3*C8:T8)</f>
        <v>3.2564021095433979E-2</v>
      </c>
      <c r="V8" s="439">
        <f t="shared" si="8"/>
        <v>1.2913026452073604E-2</v>
      </c>
    </row>
    <row r="9" spans="1:22" x14ac:dyDescent="0.25">
      <c r="A9" s="425">
        <v>17000</v>
      </c>
      <c r="B9" s="434" t="s">
        <v>10</v>
      </c>
      <c r="C9" s="435"/>
      <c r="D9" s="436">
        <f t="shared" si="0"/>
        <v>7.0291534193730687E-2</v>
      </c>
      <c r="E9" s="429"/>
      <c r="F9" s="429"/>
      <c r="G9" s="429"/>
      <c r="H9" s="437">
        <f t="shared" si="1"/>
        <v>5.1476114765784307E-2</v>
      </c>
      <c r="I9" s="435"/>
      <c r="J9" s="436">
        <f t="shared" si="2"/>
        <v>7.554147742736432E-2</v>
      </c>
      <c r="K9" s="435"/>
      <c r="L9" s="437">
        <f t="shared" si="3"/>
        <v>5.7834239116207997E-2</v>
      </c>
      <c r="M9" s="435"/>
      <c r="N9" s="436">
        <f t="shared" si="4"/>
        <v>0.13944213277401205</v>
      </c>
      <c r="O9" s="435"/>
      <c r="P9" s="437">
        <f t="shared" si="5"/>
        <v>5.564164950415873E-2</v>
      </c>
      <c r="Q9" s="435"/>
      <c r="R9" s="436">
        <f t="shared" si="6"/>
        <v>3.2263245255245654E-2</v>
      </c>
      <c r="S9" s="435"/>
      <c r="T9" s="436">
        <f t="shared" si="7"/>
        <v>8.0356291137876984E-2</v>
      </c>
      <c r="U9" s="438">
        <f t="array" ref="U9">SUM($C$3:$T$3*C9:T9)</f>
        <v>6.3036356626375564E-2</v>
      </c>
      <c r="V9" s="439">
        <f t="shared" si="8"/>
        <v>2.4996610159820461E-2</v>
      </c>
    </row>
    <row r="10" spans="1:22" x14ac:dyDescent="0.25">
      <c r="A10" s="425">
        <v>18000</v>
      </c>
      <c r="B10" s="434" t="s">
        <v>11</v>
      </c>
      <c r="C10" s="435"/>
      <c r="D10" s="436">
        <f t="shared" si="0"/>
        <v>4.8297603900695707E-2</v>
      </c>
      <c r="E10" s="429"/>
      <c r="F10" s="429"/>
      <c r="G10" s="429"/>
      <c r="H10" s="437">
        <f t="shared" si="1"/>
        <v>6.6369911637607193E-2</v>
      </c>
      <c r="I10" s="435"/>
      <c r="J10" s="436">
        <f t="shared" si="2"/>
        <v>4.1214814933000776E-2</v>
      </c>
      <c r="K10" s="435"/>
      <c r="L10" s="437">
        <f t="shared" si="3"/>
        <v>3.0406009636129515E-2</v>
      </c>
      <c r="M10" s="435"/>
      <c r="N10" s="436">
        <f t="shared" si="4"/>
        <v>8.5397167833300563E-2</v>
      </c>
      <c r="O10" s="435"/>
      <c r="P10" s="437">
        <f t="shared" si="5"/>
        <v>7.5661173108201264E-3</v>
      </c>
      <c r="Q10" s="435"/>
      <c r="R10" s="436">
        <f t="shared" si="6"/>
        <v>1.6678598479615538E-2</v>
      </c>
      <c r="S10" s="435"/>
      <c r="T10" s="436">
        <f t="shared" si="7"/>
        <v>3.7596439282588039E-2</v>
      </c>
      <c r="U10" s="438">
        <f t="array" ref="U10">SUM($C$3:$T$3*C10:T10)</f>
        <v>4.2759787499828401E-2</v>
      </c>
      <c r="V10" s="439">
        <f t="shared" si="8"/>
        <v>1.6956083692862865E-2</v>
      </c>
    </row>
    <row r="11" spans="1:22" x14ac:dyDescent="0.25">
      <c r="A11" s="425">
        <v>19000</v>
      </c>
      <c r="B11" s="434" t="s">
        <v>12</v>
      </c>
      <c r="C11" s="435"/>
      <c r="D11" s="436">
        <f t="shared" si="0"/>
        <v>2.9701236100101995E-2</v>
      </c>
      <c r="E11" s="429"/>
      <c r="F11" s="429"/>
      <c r="G11" s="429"/>
      <c r="H11" s="437">
        <f t="shared" si="1"/>
        <v>1.2837000748247887E-2</v>
      </c>
      <c r="I11" s="435"/>
      <c r="J11" s="436">
        <f t="shared" si="2"/>
        <v>2.7788014841463777E-2</v>
      </c>
      <c r="K11" s="435"/>
      <c r="L11" s="437">
        <f t="shared" si="3"/>
        <v>2.715342204650736E-2</v>
      </c>
      <c r="M11" s="435"/>
      <c r="N11" s="436">
        <f t="shared" si="4"/>
        <v>8.734592107572911E-2</v>
      </c>
      <c r="O11" s="435"/>
      <c r="P11" s="437">
        <f t="shared" si="5"/>
        <v>1.6558785105112862E-3</v>
      </c>
      <c r="Q11" s="435"/>
      <c r="R11" s="436">
        <f t="shared" si="6"/>
        <v>9.7927464668333616E-3</v>
      </c>
      <c r="S11" s="435"/>
      <c r="T11" s="436">
        <f t="shared" si="7"/>
        <v>4.1286550775937236E-2</v>
      </c>
      <c r="U11" s="438">
        <f t="array" ref="U11">SUM($C$3:$T$3*C11:T11)</f>
        <v>2.5647670655806084E-2</v>
      </c>
      <c r="V11" s="439">
        <f t="shared" si="8"/>
        <v>1.0170397833912905E-2</v>
      </c>
    </row>
    <row r="12" spans="1:22" x14ac:dyDescent="0.25">
      <c r="A12" s="425">
        <v>22000</v>
      </c>
      <c r="B12" s="434" t="s">
        <v>14</v>
      </c>
      <c r="C12" s="435"/>
      <c r="D12" s="436">
        <f t="shared" si="0"/>
        <v>3.0809653103036131E-2</v>
      </c>
      <c r="E12" s="429"/>
      <c r="F12" s="429"/>
      <c r="G12" s="429"/>
      <c r="H12" s="437">
        <f t="shared" si="1"/>
        <v>4.1081535147829099E-2</v>
      </c>
      <c r="I12" s="435"/>
      <c r="J12" s="436">
        <f t="shared" si="2"/>
        <v>5.3247291371974287E-2</v>
      </c>
      <c r="K12" s="435"/>
      <c r="L12" s="437">
        <f t="shared" si="3"/>
        <v>0.12962125683784276</v>
      </c>
      <c r="M12" s="435"/>
      <c r="N12" s="436">
        <f t="shared" si="4"/>
        <v>1.1202058579562022E-3</v>
      </c>
      <c r="O12" s="435"/>
      <c r="P12" s="437">
        <f t="shared" si="5"/>
        <v>2.3551064985117678E-2</v>
      </c>
      <c r="Q12" s="435"/>
      <c r="R12" s="436">
        <f t="shared" si="6"/>
        <v>0.17425422729317808</v>
      </c>
      <c r="S12" s="435"/>
      <c r="T12" s="436">
        <f t="shared" si="7"/>
        <v>0.11067695092000424</v>
      </c>
      <c r="U12" s="438">
        <f t="array" ref="U12">SUM($C$3:$T$3*C12:T12)</f>
        <v>8.1122605202802886E-2</v>
      </c>
      <c r="V12" s="439">
        <f t="shared" si="8"/>
        <v>3.2168580894077599E-2</v>
      </c>
    </row>
    <row r="13" spans="1:22" x14ac:dyDescent="0.25">
      <c r="A13" s="425">
        <v>23000</v>
      </c>
      <c r="B13" s="434" t="s">
        <v>15</v>
      </c>
      <c r="C13" s="435"/>
      <c r="D13" s="436">
        <f t="shared" si="0"/>
        <v>8.6066004840384888E-2</v>
      </c>
      <c r="E13" s="429"/>
      <c r="F13" s="429"/>
      <c r="G13" s="429"/>
      <c r="H13" s="437">
        <f t="shared" si="1"/>
        <v>6.713885824739442E-2</v>
      </c>
      <c r="I13" s="435"/>
      <c r="J13" s="436">
        <f t="shared" si="2"/>
        <v>8.3039277808800716E-2</v>
      </c>
      <c r="K13" s="435"/>
      <c r="L13" s="437">
        <f t="shared" si="3"/>
        <v>0.10191097583321053</v>
      </c>
      <c r="M13" s="435"/>
      <c r="N13" s="436">
        <f t="shared" si="4"/>
        <v>0.17338474696814568</v>
      </c>
      <c r="O13" s="435"/>
      <c r="P13" s="437">
        <f t="shared" si="5"/>
        <v>2.1697025537205802E-3</v>
      </c>
      <c r="Q13" s="435"/>
      <c r="R13" s="436">
        <f t="shared" si="6"/>
        <v>0.12173903539455673</v>
      </c>
      <c r="S13" s="435"/>
      <c r="T13" s="436">
        <f t="shared" si="7"/>
        <v>7.277773686282496E-2</v>
      </c>
      <c r="U13" s="438">
        <f t="array" ref="U13">SUM($C$3:$T$3*C13:T13)</f>
        <v>8.7025963056681005E-2</v>
      </c>
      <c r="V13" s="439">
        <f t="shared" si="8"/>
        <v>3.4509514647307275E-2</v>
      </c>
    </row>
    <row r="14" spans="1:22" x14ac:dyDescent="0.25">
      <c r="A14" s="425">
        <v>24000</v>
      </c>
      <c r="B14" s="434" t="s">
        <v>16</v>
      </c>
      <c r="C14" s="435"/>
      <c r="D14" s="436">
        <f t="shared" si="0"/>
        <v>3.9628365992531861E-2</v>
      </c>
      <c r="E14" s="429"/>
      <c r="F14" s="429"/>
      <c r="G14" s="429"/>
      <c r="H14" s="437">
        <f t="shared" si="1"/>
        <v>4.8779829336273187E-2</v>
      </c>
      <c r="I14" s="435"/>
      <c r="J14" s="436">
        <f t="shared" si="2"/>
        <v>3.8375280055490055E-2</v>
      </c>
      <c r="K14" s="435"/>
      <c r="L14" s="437">
        <f t="shared" si="3"/>
        <v>4.740466807140474E-2</v>
      </c>
      <c r="M14" s="435"/>
      <c r="N14" s="436">
        <f t="shared" si="4"/>
        <v>4.4853579347302809E-2</v>
      </c>
      <c r="O14" s="435"/>
      <c r="P14" s="437">
        <f t="shared" si="5"/>
        <v>2.5505267136703799E-2</v>
      </c>
      <c r="Q14" s="435"/>
      <c r="R14" s="436">
        <f t="shared" si="6"/>
        <v>5.9845817492815437E-2</v>
      </c>
      <c r="S14" s="435"/>
      <c r="T14" s="436">
        <f t="shared" si="7"/>
        <v>6.1628655756234843E-2</v>
      </c>
      <c r="U14" s="438">
        <f t="array" ref="U14">SUM($C$3:$T$3*C14:T14)</f>
        <v>4.7025881222690517E-2</v>
      </c>
      <c r="V14" s="439">
        <f t="shared" si="8"/>
        <v>1.8647772226318211E-2</v>
      </c>
    </row>
    <row r="15" spans="1:22" x14ac:dyDescent="0.25">
      <c r="A15" s="425">
        <v>25000</v>
      </c>
      <c r="B15" s="434" t="s">
        <v>17</v>
      </c>
      <c r="C15" s="435"/>
      <c r="D15" s="436">
        <f t="shared" si="0"/>
        <v>5.0704423641054812E-2</v>
      </c>
      <c r="E15" s="429"/>
      <c r="F15" s="429"/>
      <c r="G15" s="429"/>
      <c r="H15" s="437">
        <f t="shared" si="1"/>
        <v>4.3229728906956214E-2</v>
      </c>
      <c r="I15" s="435"/>
      <c r="J15" s="436">
        <f t="shared" si="2"/>
        <v>6.1524528454684951E-2</v>
      </c>
      <c r="K15" s="435"/>
      <c r="L15" s="437">
        <f t="shared" si="3"/>
        <v>7.9015415248914034E-2</v>
      </c>
      <c r="M15" s="435"/>
      <c r="N15" s="436">
        <f t="shared" si="4"/>
        <v>1.2421618551023377E-2</v>
      </c>
      <c r="O15" s="435"/>
      <c r="P15" s="437">
        <f t="shared" si="5"/>
        <v>1.2038244611993751E-2</v>
      </c>
      <c r="Q15" s="435"/>
      <c r="R15" s="436">
        <f t="shared" si="6"/>
        <v>5.3536870410113784E-2</v>
      </c>
      <c r="S15" s="435"/>
      <c r="T15" s="436">
        <f t="shared" si="7"/>
        <v>4.4365413214112706E-2</v>
      </c>
      <c r="U15" s="438">
        <f t="array" ref="U15">SUM($C$3:$T$3*C15:T15)</f>
        <v>5.5683706341850443E-2</v>
      </c>
      <c r="V15" s="439">
        <f t="shared" si="8"/>
        <v>2.2080970001663449E-2</v>
      </c>
    </row>
    <row r="16" spans="1:22" x14ac:dyDescent="0.25">
      <c r="A16" s="425">
        <v>27000</v>
      </c>
      <c r="B16" s="434" t="s">
        <v>19</v>
      </c>
      <c r="C16" s="435"/>
      <c r="D16" s="436">
        <f t="shared" si="0"/>
        <v>8.1027492985637675E-2</v>
      </c>
      <c r="E16" s="429"/>
      <c r="F16" s="429"/>
      <c r="G16" s="429"/>
      <c r="H16" s="437">
        <f t="shared" si="1"/>
        <v>9.1160073241628253E-2</v>
      </c>
      <c r="I16" s="435"/>
      <c r="J16" s="436">
        <f t="shared" si="2"/>
        <v>8.379589861616242E-2</v>
      </c>
      <c r="K16" s="435"/>
      <c r="L16" s="437">
        <f t="shared" si="3"/>
        <v>9.7747248567839118E-2</v>
      </c>
      <c r="M16" s="435"/>
      <c r="N16" s="436">
        <f t="shared" si="4"/>
        <v>1.806031764687269E-2</v>
      </c>
      <c r="O16" s="435"/>
      <c r="P16" s="437">
        <f t="shared" si="5"/>
        <v>5.9790088058054469E-2</v>
      </c>
      <c r="Q16" s="435"/>
      <c r="R16" s="436">
        <f t="shared" si="6"/>
        <v>0.17414765393453646</v>
      </c>
      <c r="S16" s="435"/>
      <c r="T16" s="436">
        <f t="shared" si="7"/>
        <v>6.4515870847845339E-2</v>
      </c>
      <c r="U16" s="438">
        <f t="array" ref="U16">SUM($C$3:$T$3*C16:T16)</f>
        <v>9.0318751694939317E-2</v>
      </c>
      <c r="V16" s="439">
        <f t="shared" si="8"/>
        <v>3.58152461066472E-2</v>
      </c>
    </row>
    <row r="17" spans="1:22" x14ac:dyDescent="0.25">
      <c r="A17" s="425">
        <v>28000</v>
      </c>
      <c r="B17" s="434" t="s">
        <v>20</v>
      </c>
      <c r="C17" s="435"/>
      <c r="D17" s="436">
        <f t="shared" si="0"/>
        <v>7.6412951092049708E-2</v>
      </c>
      <c r="E17" s="429"/>
      <c r="F17" s="429"/>
      <c r="G17" s="429"/>
      <c r="H17" s="437">
        <f t="shared" si="1"/>
        <v>5.5718140282805709E-2</v>
      </c>
      <c r="I17" s="435"/>
      <c r="J17" s="436">
        <f t="shared" si="2"/>
        <v>7.8094121317258278E-2</v>
      </c>
      <c r="K17" s="435"/>
      <c r="L17" s="437">
        <f t="shared" si="3"/>
        <v>4.7144009514894128E-2</v>
      </c>
      <c r="M17" s="435"/>
      <c r="N17" s="436">
        <f t="shared" si="4"/>
        <v>0.16170437602603135</v>
      </c>
      <c r="O17" s="435"/>
      <c r="P17" s="437">
        <f t="shared" si="5"/>
        <v>2.6190529730082485E-2</v>
      </c>
      <c r="Q17" s="435"/>
      <c r="R17" s="436">
        <f t="shared" si="6"/>
        <v>3.4987180479699072E-2</v>
      </c>
      <c r="S17" s="435"/>
      <c r="T17" s="436">
        <f t="shared" si="7"/>
        <v>0.10067810068178079</v>
      </c>
      <c r="U17" s="438">
        <f t="array" ref="U17">SUM($C$3:$T$3*C17:T17)</f>
        <v>6.3782325132911127E-2</v>
      </c>
      <c r="V17" s="439">
        <f t="shared" si="8"/>
        <v>2.5292418562261838E-2</v>
      </c>
    </row>
    <row r="18" spans="1:22" x14ac:dyDescent="0.25">
      <c r="A18" s="425">
        <v>31000</v>
      </c>
      <c r="B18" s="434" t="s">
        <v>21</v>
      </c>
      <c r="C18" s="435"/>
      <c r="D18" s="436">
        <f t="shared" si="0"/>
        <v>0.10799379030118961</v>
      </c>
      <c r="E18" s="429"/>
      <c r="F18" s="429"/>
      <c r="G18" s="429"/>
      <c r="H18" s="437">
        <f t="shared" si="1"/>
        <v>0.18851366357667049</v>
      </c>
      <c r="I18" s="435"/>
      <c r="J18" s="436">
        <f t="shared" si="2"/>
        <v>6.4292334740452248E-2</v>
      </c>
      <c r="K18" s="435"/>
      <c r="L18" s="437">
        <f t="shared" si="3"/>
        <v>2.5233427705864672E-2</v>
      </c>
      <c r="M18" s="435"/>
      <c r="N18" s="436">
        <f t="shared" si="4"/>
        <v>1.6675952273862507E-3</v>
      </c>
      <c r="O18" s="435"/>
      <c r="P18" s="437">
        <f t="shared" si="5"/>
        <v>0.22743172181543161</v>
      </c>
      <c r="Q18" s="435"/>
      <c r="R18" s="436">
        <f t="shared" si="6"/>
        <v>4.0819208368777955E-2</v>
      </c>
      <c r="S18" s="435"/>
      <c r="T18" s="436">
        <f t="shared" si="7"/>
        <v>4.5460913281801532E-2</v>
      </c>
      <c r="U18" s="438">
        <f t="array" ref="U18">SUM($C$3:$T$3*C18:T18)</f>
        <v>8.6880814310363E-2</v>
      </c>
      <c r="V18" s="439">
        <f t="shared" si="8"/>
        <v>3.4451956964391003E-2</v>
      </c>
    </row>
    <row r="19" spans="1:22" x14ac:dyDescent="0.25">
      <c r="A19" s="425">
        <v>41000</v>
      </c>
      <c r="B19" s="434" t="s">
        <v>22</v>
      </c>
      <c r="C19" s="435"/>
      <c r="D19" s="436">
        <f t="shared" si="0"/>
        <v>0.15285337749492175</v>
      </c>
      <c r="E19" s="429"/>
      <c r="F19" s="429"/>
      <c r="G19" s="429"/>
      <c r="H19" s="437">
        <f t="shared" si="1"/>
        <v>0.1469371164809441</v>
      </c>
      <c r="I19" s="435"/>
      <c r="J19" s="436">
        <f t="shared" si="2"/>
        <v>0.13171665046930114</v>
      </c>
      <c r="K19" s="435"/>
      <c r="L19" s="437">
        <f t="shared" si="3"/>
        <v>0.10948629038399199</v>
      </c>
      <c r="M19" s="435"/>
      <c r="N19" s="436">
        <f t="shared" si="4"/>
        <v>9.2031103205474484E-3</v>
      </c>
      <c r="O19" s="435"/>
      <c r="P19" s="437">
        <f t="shared" si="5"/>
        <v>0.3062499571015343</v>
      </c>
      <c r="Q19" s="435"/>
      <c r="R19" s="436">
        <f t="shared" si="6"/>
        <v>8.9794255768234327E-2</v>
      </c>
      <c r="S19" s="435"/>
      <c r="T19" s="436">
        <f t="shared" si="7"/>
        <v>0.103115483798448</v>
      </c>
      <c r="U19" s="438">
        <f t="array" ref="U19">SUM($C$3:$T$3*C19:T19)</f>
        <v>0.12841474122512381</v>
      </c>
      <c r="V19" s="439">
        <f t="shared" si="8"/>
        <v>5.0921934530644343E-2</v>
      </c>
    </row>
    <row r="20" spans="1:22" ht="15" customHeight="1" thickBot="1" x14ac:dyDescent="0.3">
      <c r="A20" s="440">
        <v>43000</v>
      </c>
      <c r="B20" s="441" t="s">
        <v>23</v>
      </c>
      <c r="C20" s="435"/>
      <c r="D20" s="436">
        <f t="shared" si="0"/>
        <v>7.6927112066126263E-2</v>
      </c>
      <c r="E20" s="442"/>
      <c r="F20" s="429"/>
      <c r="G20" s="443"/>
      <c r="H20" s="444">
        <f t="shared" si="1"/>
        <v>8.8739460896808564E-2</v>
      </c>
      <c r="I20" s="435"/>
      <c r="J20" s="436">
        <f t="shared" si="2"/>
        <v>8.0831543397659605E-2</v>
      </c>
      <c r="K20" s="435"/>
      <c r="L20" s="437">
        <f t="shared" si="3"/>
        <v>7.3717148683817915E-2</v>
      </c>
      <c r="M20" s="435"/>
      <c r="N20" s="436">
        <f t="shared" si="4"/>
        <v>7.8297351134576892E-2</v>
      </c>
      <c r="O20" s="435"/>
      <c r="P20" s="437">
        <f t="shared" si="5"/>
        <v>7.8450902249288912E-2</v>
      </c>
      <c r="Q20" s="435"/>
      <c r="R20" s="436">
        <f t="shared" si="6"/>
        <v>6.9724601517088328E-2</v>
      </c>
      <c r="S20" s="435"/>
      <c r="T20" s="436">
        <f t="shared" si="7"/>
        <v>5.2353291555757756E-2</v>
      </c>
      <c r="U20" s="438">
        <f t="array" ref="U20">SUM($C$3:$T$3*C20:T20)</f>
        <v>7.61221775190771E-2</v>
      </c>
      <c r="V20" s="439">
        <f t="shared" si="8"/>
        <v>3.0185697552907977E-2</v>
      </c>
    </row>
    <row r="21" spans="1:22" ht="15.75" thickBot="1" x14ac:dyDescent="0.3">
      <c r="A21" s="994" t="s">
        <v>143</v>
      </c>
      <c r="B21" s="995"/>
      <c r="C21" s="445"/>
      <c r="D21" s="446">
        <f>SUM(D6:D20)</f>
        <v>1</v>
      </c>
      <c r="E21" s="447"/>
      <c r="F21" s="447"/>
      <c r="G21" s="447"/>
      <c r="H21" s="448">
        <f>SUM(H6:H20)</f>
        <v>1</v>
      </c>
      <c r="I21" s="445"/>
      <c r="J21" s="446">
        <f>SUM(J6:J20)</f>
        <v>0.99999999999999989</v>
      </c>
      <c r="K21" s="445"/>
      <c r="L21" s="448">
        <f>SUM(L6:L20)</f>
        <v>1</v>
      </c>
      <c r="M21" s="445"/>
      <c r="N21" s="446">
        <f>SUM(N6:N20)</f>
        <v>1</v>
      </c>
      <c r="O21" s="445"/>
      <c r="P21" s="448">
        <f>SUM(P6:P20)</f>
        <v>1</v>
      </c>
      <c r="Q21" s="445"/>
      <c r="R21" s="446">
        <f>SUM(R6:R20)</f>
        <v>0.99999999999999989</v>
      </c>
      <c r="S21" s="445"/>
      <c r="T21" s="446">
        <f>SUM(T6:T20)</f>
        <v>1.0000000000000002</v>
      </c>
      <c r="U21" s="449">
        <f>SUM(U6:U20)</f>
        <v>0.99999999999999989</v>
      </c>
      <c r="V21" s="450">
        <f>SUM(V6:V20)</f>
        <v>0.39654274925783739</v>
      </c>
    </row>
    <row r="22" spans="1:22" ht="15.75" thickBot="1" x14ac:dyDescent="0.3"/>
    <row r="23" spans="1:22" x14ac:dyDescent="0.25">
      <c r="A23" s="451">
        <v>12000</v>
      </c>
      <c r="B23" s="426" t="s">
        <v>5</v>
      </c>
      <c r="C23" s="452">
        <v>4782.9911082592353</v>
      </c>
      <c r="D23" s="428">
        <f>C23/$C$38</f>
        <v>7.5447193247877437E-2</v>
      </c>
      <c r="E23" s="452">
        <v>32414</v>
      </c>
      <c r="F23" s="453">
        <v>24650</v>
      </c>
      <c r="G23" s="453">
        <f>E23+F23</f>
        <v>57064</v>
      </c>
      <c r="H23" s="428">
        <f>G23/$G$38</f>
        <v>4.3169277370020867E-2</v>
      </c>
      <c r="I23" s="452">
        <v>2590.3282380851642</v>
      </c>
      <c r="J23" s="428">
        <f>I23/$I$38</f>
        <v>7.8735936542816048E-2</v>
      </c>
      <c r="K23" s="452"/>
      <c r="L23" s="431">
        <v>0.11423449068642254</v>
      </c>
      <c r="M23" s="452">
        <v>4086.73</v>
      </c>
      <c r="N23" s="428">
        <f>M23/$M$38</f>
        <v>1.9243290819190205E-2</v>
      </c>
      <c r="O23" s="452"/>
      <c r="P23" s="428">
        <v>4.0271638604364189E-2</v>
      </c>
      <c r="R23" s="755"/>
      <c r="T23" s="761"/>
    </row>
    <row r="24" spans="1:22" ht="15" customHeight="1" x14ac:dyDescent="0.25">
      <c r="A24" s="454">
        <v>13000</v>
      </c>
      <c r="B24" s="434" t="s">
        <v>6</v>
      </c>
      <c r="C24" s="455">
        <v>2872.7225654273843</v>
      </c>
      <c r="D24" s="436">
        <f t="shared" ref="D24:D37" si="9">C24/$C$38</f>
        <v>4.5314500829214371E-2</v>
      </c>
      <c r="E24" s="455">
        <v>25452</v>
      </c>
      <c r="F24" s="456">
        <v>19156</v>
      </c>
      <c r="G24" s="456">
        <f t="shared" ref="G24:G37" si="10">E24+F24</f>
        <v>44608</v>
      </c>
      <c r="H24" s="436">
        <f t="shared" ref="H24:H37" si="11">G24/$G$38</f>
        <v>3.374623448972891E-2</v>
      </c>
      <c r="I24" s="455">
        <v>1794.3249242225158</v>
      </c>
      <c r="J24" s="436">
        <f t="shared" ref="J24:J37" si="12">I24/$I$38</f>
        <v>5.4540521658063446E-2</v>
      </c>
      <c r="K24" s="455"/>
      <c r="L24" s="437">
        <v>2.9211035163357435E-2</v>
      </c>
      <c r="M24" s="455">
        <v>35648.409999999996</v>
      </c>
      <c r="N24" s="436">
        <f t="shared" ref="N24:N37" si="13">M24/$M$38</f>
        <v>0.16785858641792539</v>
      </c>
      <c r="O24" s="455"/>
      <c r="P24" s="436">
        <v>1.8618966038490333E-3</v>
      </c>
      <c r="R24" s="755"/>
    </row>
    <row r="25" spans="1:22" x14ac:dyDescent="0.25">
      <c r="A25" s="454">
        <v>16000</v>
      </c>
      <c r="B25" s="434" t="s">
        <v>9</v>
      </c>
      <c r="C25" s="455">
        <v>1808.3333333333335</v>
      </c>
      <c r="D25" s="436">
        <f t="shared" si="9"/>
        <v>2.8524760211447116E-2</v>
      </c>
      <c r="E25" s="455">
        <v>1530</v>
      </c>
      <c r="F25" s="456">
        <v>28472</v>
      </c>
      <c r="G25" s="456">
        <f t="shared" si="10"/>
        <v>30002</v>
      </c>
      <c r="H25" s="436">
        <f t="shared" si="11"/>
        <v>2.2696702994100763E-2</v>
      </c>
      <c r="I25" s="455">
        <v>1554.8794785680855</v>
      </c>
      <c r="J25" s="436">
        <f t="shared" si="12"/>
        <v>4.7262308365507856E-2</v>
      </c>
      <c r="K25" s="455"/>
      <c r="L25" s="437">
        <v>2.9880362503595163E-2</v>
      </c>
      <c r="M25" s="455">
        <v>0</v>
      </c>
      <c r="N25" s="436">
        <f t="shared" si="13"/>
        <v>0</v>
      </c>
      <c r="O25" s="455"/>
      <c r="P25" s="436">
        <v>0.13162534122436906</v>
      </c>
      <c r="R25" s="755"/>
    </row>
    <row r="26" spans="1:22" x14ac:dyDescent="0.25">
      <c r="A26" s="454">
        <v>17000</v>
      </c>
      <c r="B26" s="434" t="s">
        <v>10</v>
      </c>
      <c r="C26" s="455">
        <v>4456.1469891919714</v>
      </c>
      <c r="D26" s="436">
        <f t="shared" si="9"/>
        <v>7.0291534193730687E-2</v>
      </c>
      <c r="E26" s="455">
        <v>26286</v>
      </c>
      <c r="F26" s="456">
        <v>41528</v>
      </c>
      <c r="G26" s="456">
        <f t="shared" si="10"/>
        <v>67814</v>
      </c>
      <c r="H26" s="436">
        <f t="shared" si="11"/>
        <v>5.1301720446701858E-2</v>
      </c>
      <c r="I26" s="455">
        <v>2485.2339442278299</v>
      </c>
      <c r="J26" s="436">
        <f t="shared" si="12"/>
        <v>7.554147742736432E-2</v>
      </c>
      <c r="K26" s="455"/>
      <c r="L26" s="437">
        <v>5.7834239116207997E-2</v>
      </c>
      <c r="M26" s="455">
        <v>29613.559999999998</v>
      </c>
      <c r="N26" s="436">
        <f t="shared" si="13"/>
        <v>0.13944213277401205</v>
      </c>
      <c r="O26" s="455"/>
      <c r="P26" s="436">
        <v>5.564164950415873E-2</v>
      </c>
      <c r="R26" s="755"/>
    </row>
    <row r="27" spans="1:22" x14ac:dyDescent="0.25">
      <c r="A27" s="454">
        <v>18000</v>
      </c>
      <c r="B27" s="434" t="s">
        <v>11</v>
      </c>
      <c r="C27" s="455">
        <v>3061.8370288248339</v>
      </c>
      <c r="D27" s="436">
        <f t="shared" si="9"/>
        <v>4.8297603900695707E-2</v>
      </c>
      <c r="E27" s="455">
        <v>38000</v>
      </c>
      <c r="F27" s="456">
        <v>56500</v>
      </c>
      <c r="G27" s="456">
        <f t="shared" si="10"/>
        <v>94500</v>
      </c>
      <c r="H27" s="436">
        <f t="shared" si="11"/>
        <v>7.14898484415213E-2</v>
      </c>
      <c r="I27" s="455">
        <v>1355.9234021475154</v>
      </c>
      <c r="J27" s="436">
        <f t="shared" si="12"/>
        <v>4.1214814933000776E-2</v>
      </c>
      <c r="K27" s="455"/>
      <c r="L27" s="437">
        <v>3.0406009636129515E-2</v>
      </c>
      <c r="M27" s="455">
        <v>18135.939999999999</v>
      </c>
      <c r="N27" s="436">
        <f t="shared" si="13"/>
        <v>8.5397167833300563E-2</v>
      </c>
      <c r="O27" s="455"/>
      <c r="P27" s="436">
        <v>7.5661173108201264E-3</v>
      </c>
      <c r="R27" s="755"/>
    </row>
    <row r="28" spans="1:22" x14ac:dyDescent="0.25">
      <c r="A28" s="454">
        <v>19000</v>
      </c>
      <c r="B28" s="434" t="s">
        <v>12</v>
      </c>
      <c r="C28" s="455">
        <v>1882.9162763466043</v>
      </c>
      <c r="D28" s="436">
        <f t="shared" si="9"/>
        <v>2.9701236100101995E-2</v>
      </c>
      <c r="E28" s="455">
        <v>9665</v>
      </c>
      <c r="F28" s="456">
        <v>6523</v>
      </c>
      <c r="G28" s="456">
        <f t="shared" si="10"/>
        <v>16188</v>
      </c>
      <c r="H28" s="436">
        <f t="shared" si="11"/>
        <v>1.2246324513982507E-2</v>
      </c>
      <c r="I28" s="455">
        <v>914.19601626292967</v>
      </c>
      <c r="J28" s="436">
        <f t="shared" si="12"/>
        <v>2.7788014841463777E-2</v>
      </c>
      <c r="K28" s="455"/>
      <c r="L28" s="437">
        <v>2.715342204650736E-2</v>
      </c>
      <c r="M28" s="455">
        <v>18549.8</v>
      </c>
      <c r="N28" s="436">
        <f t="shared" si="13"/>
        <v>8.734592107572911E-2</v>
      </c>
      <c r="O28" s="455"/>
      <c r="P28" s="436">
        <v>1.6558785105112862E-3</v>
      </c>
      <c r="R28" s="755"/>
    </row>
    <row r="29" spans="1:22" x14ac:dyDescent="0.25">
      <c r="A29" s="454">
        <v>22000</v>
      </c>
      <c r="B29" s="434" t="s">
        <v>14</v>
      </c>
      <c r="C29" s="455">
        <v>1953.1846116027534</v>
      </c>
      <c r="D29" s="436">
        <f t="shared" si="9"/>
        <v>3.0809653103036131E-2</v>
      </c>
      <c r="E29" s="455">
        <v>16577</v>
      </c>
      <c r="F29" s="456">
        <v>39567</v>
      </c>
      <c r="G29" s="456">
        <f t="shared" si="10"/>
        <v>56144</v>
      </c>
      <c r="H29" s="436">
        <f t="shared" si="11"/>
        <v>4.2473291543923514E-2</v>
      </c>
      <c r="I29" s="455">
        <v>1751.7790287205039</v>
      </c>
      <c r="J29" s="436">
        <f t="shared" si="12"/>
        <v>5.3247291371974287E-2</v>
      </c>
      <c r="K29" s="455"/>
      <c r="L29" s="437">
        <v>0.12962125683784276</v>
      </c>
      <c r="M29" s="455">
        <v>237.9</v>
      </c>
      <c r="N29" s="436">
        <f t="shared" si="13"/>
        <v>1.1202058579562022E-3</v>
      </c>
      <c r="O29" s="455"/>
      <c r="P29" s="436">
        <v>2.3551064985117678E-2</v>
      </c>
      <c r="R29" s="755"/>
    </row>
    <row r="30" spans="1:22" x14ac:dyDescent="0.25">
      <c r="A30" s="454">
        <v>23000</v>
      </c>
      <c r="B30" s="434" t="s">
        <v>15</v>
      </c>
      <c r="C30" s="455">
        <v>5456.1729622266403</v>
      </c>
      <c r="D30" s="436">
        <f t="shared" si="9"/>
        <v>8.6066004840384888E-2</v>
      </c>
      <c r="E30" s="455">
        <v>40729</v>
      </c>
      <c r="F30" s="456">
        <v>48356</v>
      </c>
      <c r="G30" s="456">
        <f t="shared" si="10"/>
        <v>89085</v>
      </c>
      <c r="H30" s="436">
        <f t="shared" si="11"/>
        <v>6.7393366649872222E-2</v>
      </c>
      <c r="I30" s="455">
        <v>2731.9035706315112</v>
      </c>
      <c r="J30" s="436">
        <f t="shared" si="12"/>
        <v>8.3039277808800716E-2</v>
      </c>
      <c r="K30" s="455"/>
      <c r="L30" s="437">
        <v>0.10191097583321053</v>
      </c>
      <c r="M30" s="455">
        <v>36822.01</v>
      </c>
      <c r="N30" s="436">
        <f t="shared" si="13"/>
        <v>0.17338474696814568</v>
      </c>
      <c r="O30" s="455"/>
      <c r="P30" s="436">
        <v>2.1697025537205802E-3</v>
      </c>
      <c r="R30" s="755"/>
    </row>
    <row r="31" spans="1:22" x14ac:dyDescent="0.25">
      <c r="A31" s="454">
        <v>24000</v>
      </c>
      <c r="B31" s="434" t="s">
        <v>16</v>
      </c>
      <c r="C31" s="455">
        <v>2512.2488195736155</v>
      </c>
      <c r="D31" s="436">
        <f t="shared" si="9"/>
        <v>3.9628365992531861E-2</v>
      </c>
      <c r="E31" s="455">
        <v>21819</v>
      </c>
      <c r="F31" s="456">
        <v>40191</v>
      </c>
      <c r="G31" s="456">
        <f t="shared" si="10"/>
        <v>62010</v>
      </c>
      <c r="H31" s="436">
        <f t="shared" si="11"/>
        <v>4.6910957691626835E-2</v>
      </c>
      <c r="I31" s="455">
        <v>1262.5057367306069</v>
      </c>
      <c r="J31" s="436">
        <f t="shared" si="12"/>
        <v>3.8375280055490055E-2</v>
      </c>
      <c r="K31" s="455"/>
      <c r="L31" s="437">
        <v>4.740466807140474E-2</v>
      </c>
      <c r="M31" s="455">
        <v>9525.630000000001</v>
      </c>
      <c r="N31" s="436">
        <f t="shared" si="13"/>
        <v>4.4853579347302809E-2</v>
      </c>
      <c r="O31" s="455"/>
      <c r="P31" s="436">
        <v>2.5505267136703799E-2</v>
      </c>
      <c r="R31" s="755"/>
    </row>
    <row r="32" spans="1:22" x14ac:dyDescent="0.25">
      <c r="A32" s="454">
        <v>25000</v>
      </c>
      <c r="B32" s="434" t="s">
        <v>17</v>
      </c>
      <c r="C32" s="455">
        <v>3214.4178860013103</v>
      </c>
      <c r="D32" s="436">
        <f t="shared" si="9"/>
        <v>5.0704423641054812E-2</v>
      </c>
      <c r="E32" s="455">
        <v>22462</v>
      </c>
      <c r="F32" s="456">
        <v>36550</v>
      </c>
      <c r="G32" s="456">
        <f t="shared" si="10"/>
        <v>59012</v>
      </c>
      <c r="H32" s="436">
        <f t="shared" si="11"/>
        <v>4.464295170614873E-2</v>
      </c>
      <c r="I32" s="455">
        <v>2024.0912903141889</v>
      </c>
      <c r="J32" s="436">
        <f t="shared" si="12"/>
        <v>6.1524528454684951E-2</v>
      </c>
      <c r="K32" s="455"/>
      <c r="L32" s="437">
        <v>7.9015415248914034E-2</v>
      </c>
      <c r="M32" s="455">
        <v>2638</v>
      </c>
      <c r="N32" s="436">
        <f t="shared" si="13"/>
        <v>1.2421618551023377E-2</v>
      </c>
      <c r="O32" s="455"/>
      <c r="P32" s="436">
        <v>1.2038244611993751E-2</v>
      </c>
      <c r="R32" s="755"/>
    </row>
    <row r="33" spans="1:20" x14ac:dyDescent="0.25">
      <c r="A33" s="454">
        <v>27000</v>
      </c>
      <c r="B33" s="434" t="s">
        <v>19</v>
      </c>
      <c r="C33" s="455">
        <v>5136.7554151624545</v>
      </c>
      <c r="D33" s="436">
        <f t="shared" si="9"/>
        <v>8.1027492985637675E-2</v>
      </c>
      <c r="E33" s="455">
        <v>29283</v>
      </c>
      <c r="F33" s="456">
        <v>86228</v>
      </c>
      <c r="G33" s="456">
        <f t="shared" si="10"/>
        <v>115511</v>
      </c>
      <c r="H33" s="436">
        <f t="shared" si="11"/>
        <v>8.7384802998185893E-2</v>
      </c>
      <c r="I33" s="455">
        <v>2756.7955872745856</v>
      </c>
      <c r="J33" s="436">
        <f t="shared" si="12"/>
        <v>8.379589861616242E-2</v>
      </c>
      <c r="K33" s="455"/>
      <c r="L33" s="437">
        <v>9.7747248567839118E-2</v>
      </c>
      <c r="M33" s="455">
        <v>3835.5</v>
      </c>
      <c r="N33" s="436">
        <f t="shared" si="13"/>
        <v>1.806031764687269E-2</v>
      </c>
      <c r="O33" s="455"/>
      <c r="P33" s="436">
        <v>5.9790088058054469E-2</v>
      </c>
      <c r="R33" s="755"/>
    </row>
    <row r="34" spans="1:20" x14ac:dyDescent="0.25">
      <c r="A34" s="454">
        <v>28000</v>
      </c>
      <c r="B34" s="434" t="s">
        <v>20</v>
      </c>
      <c r="C34" s="455">
        <v>4844.2155353393973</v>
      </c>
      <c r="D34" s="436">
        <f t="shared" si="9"/>
        <v>7.6412951092049708E-2</v>
      </c>
      <c r="E34" s="455">
        <v>31772</v>
      </c>
      <c r="F34" s="456">
        <v>41398</v>
      </c>
      <c r="G34" s="456">
        <f t="shared" si="10"/>
        <v>73170</v>
      </c>
      <c r="H34" s="436">
        <f t="shared" si="11"/>
        <v>5.535356836472078E-2</v>
      </c>
      <c r="I34" s="455">
        <v>2569.2132024941261</v>
      </c>
      <c r="J34" s="436">
        <f t="shared" si="12"/>
        <v>7.8094121317258278E-2</v>
      </c>
      <c r="K34" s="455"/>
      <c r="L34" s="437">
        <v>4.7144009514894128E-2</v>
      </c>
      <c r="M34" s="455">
        <v>34341.43</v>
      </c>
      <c r="N34" s="436">
        <f t="shared" si="13"/>
        <v>0.16170437602603135</v>
      </c>
      <c r="O34" s="455"/>
      <c r="P34" s="436">
        <v>2.6190529730082485E-2</v>
      </c>
      <c r="R34" s="755"/>
    </row>
    <row r="35" spans="1:20" x14ac:dyDescent="0.25">
      <c r="A35" s="454">
        <v>31000</v>
      </c>
      <c r="B35" s="434" t="s">
        <v>21</v>
      </c>
      <c r="C35" s="455">
        <v>6846.2896566710124</v>
      </c>
      <c r="D35" s="436">
        <f t="shared" si="9"/>
        <v>0.10799379030118961</v>
      </c>
      <c r="E35" s="455">
        <v>112418</v>
      </c>
      <c r="F35" s="456">
        <v>134557</v>
      </c>
      <c r="G35" s="456">
        <f t="shared" si="10"/>
        <v>246975</v>
      </c>
      <c r="H35" s="436">
        <f t="shared" si="11"/>
        <v>0.1868381515221664</v>
      </c>
      <c r="I35" s="455">
        <v>2115.1491616544745</v>
      </c>
      <c r="J35" s="436">
        <f t="shared" si="12"/>
        <v>6.4292334740452248E-2</v>
      </c>
      <c r="K35" s="455"/>
      <c r="L35" s="437">
        <v>2.5233427705864672E-2</v>
      </c>
      <c r="M35" s="455">
        <v>354.15000000000003</v>
      </c>
      <c r="N35" s="436">
        <f t="shared" si="13"/>
        <v>1.6675952273862507E-3</v>
      </c>
      <c r="O35" s="455"/>
      <c r="P35" s="436">
        <v>0.22743172181543161</v>
      </c>
      <c r="R35" s="755"/>
    </row>
    <row r="36" spans="1:20" x14ac:dyDescent="0.25">
      <c r="A36" s="454">
        <v>41000</v>
      </c>
      <c r="B36" s="434" t="s">
        <v>22</v>
      </c>
      <c r="C36" s="455">
        <v>9690.1728739414848</v>
      </c>
      <c r="D36" s="436">
        <f t="shared" si="9"/>
        <v>0.15285337749492175</v>
      </c>
      <c r="E36" s="455">
        <v>59734</v>
      </c>
      <c r="F36" s="456">
        <v>131615</v>
      </c>
      <c r="G36" s="456">
        <f t="shared" si="10"/>
        <v>191349</v>
      </c>
      <c r="H36" s="436">
        <f t="shared" si="11"/>
        <v>0.14475673025858898</v>
      </c>
      <c r="I36" s="455">
        <v>4333.3371535002689</v>
      </c>
      <c r="J36" s="436">
        <f t="shared" si="12"/>
        <v>0.13171665046930114</v>
      </c>
      <c r="K36" s="455"/>
      <c r="L36" s="437">
        <v>0.10948629038399199</v>
      </c>
      <c r="M36" s="455">
        <v>1954.48</v>
      </c>
      <c r="N36" s="436">
        <f t="shared" si="13"/>
        <v>9.2031103205474484E-3</v>
      </c>
      <c r="O36" s="455"/>
      <c r="P36" s="436">
        <v>0.3062499571015343</v>
      </c>
      <c r="R36" s="755"/>
    </row>
    <row r="37" spans="1:20" ht="15.75" thickBot="1" x14ac:dyDescent="0.3">
      <c r="A37" s="457">
        <v>43000</v>
      </c>
      <c r="B37" s="441" t="s">
        <v>23</v>
      </c>
      <c r="C37" s="455">
        <v>4876.8108813205581</v>
      </c>
      <c r="D37" s="436">
        <f t="shared" si="9"/>
        <v>7.6927112066126263E-2</v>
      </c>
      <c r="E37" s="458">
        <v>35802</v>
      </c>
      <c r="F37" s="456">
        <v>82632</v>
      </c>
      <c r="G37" s="459">
        <f t="shared" si="10"/>
        <v>118434</v>
      </c>
      <c r="H37" s="444">
        <f t="shared" si="11"/>
        <v>8.9596071008710421E-2</v>
      </c>
      <c r="I37" s="455">
        <v>2659.2714659221028</v>
      </c>
      <c r="J37" s="436">
        <f t="shared" si="12"/>
        <v>8.0831543397659605E-2</v>
      </c>
      <c r="K37" s="455"/>
      <c r="L37" s="437">
        <v>7.3717148683817915E-2</v>
      </c>
      <c r="M37" s="455">
        <v>16628.14</v>
      </c>
      <c r="N37" s="436">
        <f t="shared" si="13"/>
        <v>7.8297351134576892E-2</v>
      </c>
      <c r="O37" s="455"/>
      <c r="P37" s="436">
        <v>7.8450902249288912E-2</v>
      </c>
      <c r="R37" s="755"/>
    </row>
    <row r="38" spans="1:20" ht="15.75" thickBot="1" x14ac:dyDescent="0.3">
      <c r="A38" s="460">
        <v>2019</v>
      </c>
      <c r="B38" s="461" t="s">
        <v>143</v>
      </c>
      <c r="C38" s="462">
        <f t="shared" ref="C38:J38" si="14">SUM(C23:C37)</f>
        <v>63395.215943222589</v>
      </c>
      <c r="D38" s="446">
        <f t="shared" si="14"/>
        <v>1</v>
      </c>
      <c r="E38" s="462">
        <f t="shared" si="14"/>
        <v>503943</v>
      </c>
      <c r="F38" s="463">
        <f t="shared" si="14"/>
        <v>817923</v>
      </c>
      <c r="G38" s="463">
        <f t="shared" si="14"/>
        <v>1321866</v>
      </c>
      <c r="H38" s="446">
        <f t="shared" si="14"/>
        <v>1</v>
      </c>
      <c r="I38" s="462">
        <f t="shared" si="14"/>
        <v>32898.932200756411</v>
      </c>
      <c r="J38" s="446">
        <f t="shared" si="14"/>
        <v>0.99999999999999989</v>
      </c>
      <c r="K38" s="462"/>
      <c r="L38" s="448">
        <f>SUM(L23:L37)</f>
        <v>1</v>
      </c>
      <c r="M38" s="462">
        <f>SUM(M23:M37)</f>
        <v>212371.68</v>
      </c>
      <c r="N38" s="446">
        <f>SUM(N23:N37)</f>
        <v>1</v>
      </c>
      <c r="O38" s="462">
        <f>SUM(O23:O37)</f>
        <v>0</v>
      </c>
      <c r="P38" s="446">
        <f>SUM(P23:P37)</f>
        <v>1</v>
      </c>
    </row>
    <row r="39" spans="1:20" s="391" customFormat="1" ht="15.75" thickBot="1" x14ac:dyDescent="0.3">
      <c r="A39" s="495"/>
      <c r="B39" s="495"/>
      <c r="C39" s="494"/>
      <c r="D39" s="422"/>
      <c r="E39" s="494"/>
      <c r="F39" s="494"/>
      <c r="G39" s="494"/>
      <c r="H39" s="422"/>
      <c r="I39" s="494"/>
      <c r="J39" s="422"/>
      <c r="K39" s="494"/>
      <c r="L39" s="422"/>
      <c r="M39" s="494"/>
      <c r="N39" s="422"/>
      <c r="O39" s="494"/>
      <c r="P39" s="422"/>
    </row>
    <row r="40" spans="1:20" ht="15" customHeight="1" x14ac:dyDescent="0.25">
      <c r="A40" s="451">
        <v>12000</v>
      </c>
      <c r="B40" s="426" t="s">
        <v>5</v>
      </c>
      <c r="E40" s="452">
        <v>23508</v>
      </c>
      <c r="F40" s="453">
        <v>28578</v>
      </c>
      <c r="G40" s="453">
        <f>E40+F40</f>
        <v>52086</v>
      </c>
      <c r="H40" s="428">
        <f>G40/$G$55</f>
        <v>3.875077373583468E-2</v>
      </c>
      <c r="M40" s="12"/>
      <c r="Q40" s="452">
        <v>235590</v>
      </c>
      <c r="R40" s="428">
        <f>Q40/$Q$55</f>
        <v>7.9655263859698802E-2</v>
      </c>
      <c r="S40" s="452">
        <v>80.851666666666674</v>
      </c>
      <c r="T40" s="428">
        <f>S40/$S$55</f>
        <v>0.10557582974014387</v>
      </c>
    </row>
    <row r="41" spans="1:20" ht="15" customHeight="1" x14ac:dyDescent="0.25">
      <c r="A41" s="454">
        <v>13000</v>
      </c>
      <c r="B41" s="434" t="s">
        <v>6</v>
      </c>
      <c r="E41" s="455">
        <v>24330</v>
      </c>
      <c r="F41" s="456">
        <v>25970</v>
      </c>
      <c r="G41" s="456">
        <f t="shared" ref="G41:G54" si="15">E41+F41</f>
        <v>50300</v>
      </c>
      <c r="H41" s="436">
        <f t="shared" ref="H41:H54" si="16">G41/$G$55</f>
        <v>3.7422031235120466E-2</v>
      </c>
      <c r="Q41" s="455">
        <v>91942</v>
      </c>
      <c r="R41" s="436">
        <f t="shared" ref="R41:R54" si="17">Q41/$Q$55</f>
        <v>3.108648189561708E-2</v>
      </c>
      <c r="S41" s="455">
        <v>26.129999999999995</v>
      </c>
      <c r="T41" s="436">
        <f t="shared" ref="T41:T54" si="18">S41/$S$55</f>
        <v>3.4120464609387051E-2</v>
      </c>
    </row>
    <row r="42" spans="1:20" ht="15" customHeight="1" x14ac:dyDescent="0.25">
      <c r="A42" s="454">
        <v>16000</v>
      </c>
      <c r="B42" s="434" t="s">
        <v>9</v>
      </c>
      <c r="E42" s="455">
        <v>2785</v>
      </c>
      <c r="F42" s="456">
        <v>21609</v>
      </c>
      <c r="G42" s="456">
        <f t="shared" si="15"/>
        <v>24394</v>
      </c>
      <c r="H42" s="436">
        <f t="shared" si="16"/>
        <v>1.8148569183887249E-2</v>
      </c>
      <c r="Q42" s="455">
        <v>51023.01</v>
      </c>
      <c r="R42" s="436">
        <f t="shared" si="17"/>
        <v>1.7251374525514881E-2</v>
      </c>
      <c r="S42" s="455">
        <v>33.85</v>
      </c>
      <c r="T42" s="436">
        <f t="shared" si="18"/>
        <v>4.420121419930164E-2</v>
      </c>
    </row>
    <row r="43" spans="1:20" ht="15" customHeight="1" x14ac:dyDescent="0.25">
      <c r="A43" s="454">
        <v>17000</v>
      </c>
      <c r="B43" s="434" t="s">
        <v>10</v>
      </c>
      <c r="E43" s="455">
        <v>29353</v>
      </c>
      <c r="F43" s="456">
        <v>39198</v>
      </c>
      <c r="G43" s="456">
        <f t="shared" si="15"/>
        <v>68551</v>
      </c>
      <c r="H43" s="436">
        <f t="shared" si="16"/>
        <v>5.1000351157032664E-2</v>
      </c>
      <c r="Q43" s="455">
        <v>100643</v>
      </c>
      <c r="R43" s="436">
        <f t="shared" si="17"/>
        <v>3.4028374381899346E-2</v>
      </c>
      <c r="S43" s="455">
        <v>62.730000000000004</v>
      </c>
      <c r="T43" s="436">
        <f t="shared" si="18"/>
        <v>8.1912619400951014E-2</v>
      </c>
    </row>
    <row r="44" spans="1:20" ht="15" customHeight="1" x14ac:dyDescent="0.25">
      <c r="A44" s="454">
        <v>18000</v>
      </c>
      <c r="B44" s="434" t="s">
        <v>11</v>
      </c>
      <c r="E44" s="455">
        <v>35053</v>
      </c>
      <c r="F44" s="456">
        <v>51051</v>
      </c>
      <c r="G44" s="456">
        <f t="shared" si="15"/>
        <v>86104</v>
      </c>
      <c r="H44" s="436">
        <f t="shared" si="16"/>
        <v>6.4059375297590704E-2</v>
      </c>
      <c r="Q44" s="455">
        <v>69549</v>
      </c>
      <c r="R44" s="436">
        <f t="shared" si="17"/>
        <v>2.3515191418049121E-2</v>
      </c>
      <c r="S44" s="455">
        <v>30.63</v>
      </c>
      <c r="T44" s="436">
        <f t="shared" si="18"/>
        <v>3.9996549214907209E-2</v>
      </c>
    </row>
    <row r="45" spans="1:20" ht="15" customHeight="1" x14ac:dyDescent="0.25">
      <c r="A45" s="454">
        <v>19000</v>
      </c>
      <c r="B45" s="434" t="s">
        <v>12</v>
      </c>
      <c r="E45" s="455">
        <v>11664</v>
      </c>
      <c r="F45" s="456">
        <v>6149</v>
      </c>
      <c r="G45" s="456">
        <f t="shared" si="15"/>
        <v>17813</v>
      </c>
      <c r="H45" s="436">
        <f t="shared" si="16"/>
        <v>1.3252458099228644E-2</v>
      </c>
      <c r="Q45" s="455">
        <v>26305</v>
      </c>
      <c r="R45" s="436">
        <f t="shared" si="17"/>
        <v>8.8939756179352986E-3</v>
      </c>
      <c r="S45" s="455">
        <v>30.313000000000002</v>
      </c>
      <c r="T45" s="436">
        <f t="shared" si="18"/>
        <v>3.9582611699362794E-2</v>
      </c>
    </row>
    <row r="46" spans="1:20" ht="15" customHeight="1" x14ac:dyDescent="0.25">
      <c r="A46" s="454">
        <v>22000</v>
      </c>
      <c r="B46" s="434" t="s">
        <v>14</v>
      </c>
      <c r="E46" s="455">
        <v>16819</v>
      </c>
      <c r="F46" s="456">
        <v>37195</v>
      </c>
      <c r="G46" s="456">
        <f t="shared" si="15"/>
        <v>54014</v>
      </c>
      <c r="H46" s="436">
        <f t="shared" si="16"/>
        <v>4.0185160937053613E-2</v>
      </c>
      <c r="Q46" s="455">
        <v>522210</v>
      </c>
      <c r="R46" s="436">
        <f t="shared" si="17"/>
        <v>0.17656426563170471</v>
      </c>
      <c r="S46" s="455">
        <v>92.33</v>
      </c>
      <c r="T46" s="436">
        <f t="shared" si="18"/>
        <v>0.1205641981394836</v>
      </c>
    </row>
    <row r="47" spans="1:20" ht="15" customHeight="1" x14ac:dyDescent="0.25">
      <c r="A47" s="454">
        <v>23000</v>
      </c>
      <c r="B47" s="434" t="s">
        <v>15</v>
      </c>
      <c r="E47" s="455">
        <v>43049</v>
      </c>
      <c r="F47" s="456">
        <v>43647</v>
      </c>
      <c r="G47" s="456">
        <f t="shared" si="15"/>
        <v>86696</v>
      </c>
      <c r="H47" s="436">
        <f t="shared" si="16"/>
        <v>6.449980954194838E-2</v>
      </c>
      <c r="Q47" s="455">
        <v>326709</v>
      </c>
      <c r="R47" s="436">
        <f t="shared" si="17"/>
        <v>0.11046348147348503</v>
      </c>
      <c r="S47" s="455">
        <v>52.57</v>
      </c>
      <c r="T47" s="436">
        <f t="shared" si="18"/>
        <v>6.8645726158265502E-2</v>
      </c>
    </row>
    <row r="48" spans="1:20" ht="15" customHeight="1" x14ac:dyDescent="0.25">
      <c r="A48" s="454">
        <v>24000</v>
      </c>
      <c r="B48" s="434" t="s">
        <v>16</v>
      </c>
      <c r="E48" s="455">
        <v>27044</v>
      </c>
      <c r="F48" s="456">
        <v>40788</v>
      </c>
      <c r="G48" s="456">
        <f t="shared" si="15"/>
        <v>67832</v>
      </c>
      <c r="H48" s="436">
        <f t="shared" si="16"/>
        <v>5.0465431863632032E-2</v>
      </c>
      <c r="Q48" s="455">
        <v>168806.88660000003</v>
      </c>
      <c r="R48" s="436">
        <f t="shared" si="17"/>
        <v>5.7075245525944465E-2</v>
      </c>
      <c r="S48" s="455">
        <v>44.78</v>
      </c>
      <c r="T48" s="436">
        <f t="shared" si="18"/>
        <v>5.8473570807820605E-2</v>
      </c>
    </row>
    <row r="49" spans="1:20" ht="15" customHeight="1" x14ac:dyDescent="0.25">
      <c r="A49" s="454">
        <v>25000</v>
      </c>
      <c r="B49" s="434" t="s">
        <v>17</v>
      </c>
      <c r="E49" s="455">
        <v>20213</v>
      </c>
      <c r="F49" s="456">
        <v>38453</v>
      </c>
      <c r="G49" s="456">
        <f t="shared" si="15"/>
        <v>58666</v>
      </c>
      <c r="H49" s="436">
        <f t="shared" si="16"/>
        <v>4.364614084372917E-2</v>
      </c>
      <c r="Q49" s="455">
        <v>148622.1</v>
      </c>
      <c r="R49" s="436">
        <f t="shared" si="17"/>
        <v>5.0250573415181216E-2</v>
      </c>
      <c r="S49" s="455">
        <v>34.51</v>
      </c>
      <c r="T49" s="436">
        <f t="shared" si="18"/>
        <v>4.5063039941444588E-2</v>
      </c>
    </row>
    <row r="50" spans="1:20" ht="15" customHeight="1" x14ac:dyDescent="0.25">
      <c r="A50" s="454">
        <v>27000</v>
      </c>
      <c r="B50" s="434" t="s">
        <v>19</v>
      </c>
      <c r="E50" s="455">
        <v>27429</v>
      </c>
      <c r="F50" s="456">
        <v>105180</v>
      </c>
      <c r="G50" s="456">
        <f t="shared" si="15"/>
        <v>132609</v>
      </c>
      <c r="H50" s="436">
        <f t="shared" si="16"/>
        <v>9.865801471288449E-2</v>
      </c>
      <c r="Q50" s="455">
        <v>516460</v>
      </c>
      <c r="R50" s="436">
        <f t="shared" si="17"/>
        <v>0.17462013486557174</v>
      </c>
      <c r="S50" s="455">
        <v>50.350999999999999</v>
      </c>
      <c r="T50" s="436">
        <f t="shared" si="18"/>
        <v>6.574816354945455E-2</v>
      </c>
    </row>
    <row r="51" spans="1:20" ht="15" customHeight="1" x14ac:dyDescent="0.25">
      <c r="A51" s="454">
        <v>28000</v>
      </c>
      <c r="B51" s="434" t="s">
        <v>20</v>
      </c>
      <c r="E51" s="455">
        <v>29818</v>
      </c>
      <c r="F51" s="456">
        <v>44376</v>
      </c>
      <c r="G51" s="456">
        <f t="shared" si="15"/>
        <v>74194</v>
      </c>
      <c r="H51" s="436">
        <f t="shared" si="16"/>
        <v>5.5198612036948862E-2</v>
      </c>
      <c r="Q51" s="455">
        <v>104587</v>
      </c>
      <c r="R51" s="436">
        <f t="shared" si="17"/>
        <v>3.5361879032617338E-2</v>
      </c>
      <c r="S51" s="455">
        <v>73.356000000000009</v>
      </c>
      <c r="T51" s="436">
        <f t="shared" si="18"/>
        <v>9.5788013849452625E-2</v>
      </c>
    </row>
    <row r="52" spans="1:20" ht="15" customHeight="1" x14ac:dyDescent="0.25">
      <c r="A52" s="454">
        <v>31000</v>
      </c>
      <c r="B52" s="434" t="s">
        <v>21</v>
      </c>
      <c r="E52" s="455">
        <v>117658</v>
      </c>
      <c r="F52" s="456">
        <v>142219</v>
      </c>
      <c r="G52" s="456">
        <f t="shared" si="15"/>
        <v>259877</v>
      </c>
      <c r="H52" s="436">
        <f t="shared" si="16"/>
        <v>0.19334244952861632</v>
      </c>
      <c r="Q52" s="455">
        <v>123722.24492000001</v>
      </c>
      <c r="R52" s="436">
        <f t="shared" si="17"/>
        <v>4.1831690922436778E-2</v>
      </c>
      <c r="S52" s="455">
        <v>32.452399999999997</v>
      </c>
      <c r="T52" s="436">
        <f t="shared" si="18"/>
        <v>4.2376232900484971E-2</v>
      </c>
    </row>
    <row r="53" spans="1:20" ht="15" customHeight="1" x14ac:dyDescent="0.25">
      <c r="A53" s="454">
        <v>41000</v>
      </c>
      <c r="B53" s="434" t="s">
        <v>22</v>
      </c>
      <c r="E53" s="455">
        <v>62319</v>
      </c>
      <c r="F53" s="456">
        <v>132511</v>
      </c>
      <c r="G53" s="456">
        <f t="shared" si="15"/>
        <v>194830</v>
      </c>
      <c r="H53" s="436">
        <f t="shared" si="16"/>
        <v>0.14494899295305208</v>
      </c>
      <c r="Q53" s="455">
        <v>267122.93494999997</v>
      </c>
      <c r="R53" s="436">
        <f t="shared" si="17"/>
        <v>9.0316854987136153E-2</v>
      </c>
      <c r="S53" s="455">
        <v>85.08</v>
      </c>
      <c r="T53" s="436">
        <f t="shared" si="18"/>
        <v>0.11109717294170113</v>
      </c>
    </row>
    <row r="54" spans="1:20" ht="15" customHeight="1" thickBot="1" x14ac:dyDescent="0.3">
      <c r="A54" s="457">
        <v>43000</v>
      </c>
      <c r="B54" s="441" t="s">
        <v>23</v>
      </c>
      <c r="E54" s="458">
        <v>32290</v>
      </c>
      <c r="F54" s="456">
        <v>83872</v>
      </c>
      <c r="G54" s="459">
        <f t="shared" si="15"/>
        <v>116162</v>
      </c>
      <c r="H54" s="444">
        <f t="shared" si="16"/>
        <v>8.6421828873440631E-2</v>
      </c>
      <c r="Q54" s="455">
        <v>204327.80474000002</v>
      </c>
      <c r="R54" s="436">
        <f t="shared" si="17"/>
        <v>6.908521244720793E-2</v>
      </c>
      <c r="S54" s="455">
        <v>35.882000000000005</v>
      </c>
      <c r="T54" s="436">
        <f t="shared" si="18"/>
        <v>4.6854592847838744E-2</v>
      </c>
    </row>
    <row r="55" spans="1:20" ht="15" customHeight="1" thickBot="1" x14ac:dyDescent="0.3">
      <c r="A55" s="460">
        <v>2018</v>
      </c>
      <c r="B55" s="461" t="s">
        <v>143</v>
      </c>
      <c r="E55" s="462">
        <f>SUM(E40:E54)</f>
        <v>503332</v>
      </c>
      <c r="F55" s="463">
        <f>SUM(F40:F54)</f>
        <v>840796</v>
      </c>
      <c r="G55" s="463">
        <f>SUM(G40:G54)</f>
        <v>1344128</v>
      </c>
      <c r="H55" s="446">
        <f>SUM(H40:H54)</f>
        <v>1</v>
      </c>
      <c r="Q55" s="462">
        <f>SUM(Q40:Q54)</f>
        <v>2957619.9812100003</v>
      </c>
      <c r="R55" s="446">
        <f>SUM(R40:R54)</f>
        <v>0.99999999999999989</v>
      </c>
      <c r="S55" s="462">
        <f>SUM(S40:S54)</f>
        <v>765.81606666666676</v>
      </c>
      <c r="T55" s="446">
        <f>SUM(T40:T54)</f>
        <v>0.99999999999999978</v>
      </c>
    </row>
    <row r="56" spans="1:20" ht="15" customHeight="1" thickBot="1" x14ac:dyDescent="0.3">
      <c r="E56" s="12"/>
      <c r="F56" s="12"/>
      <c r="G56" s="12"/>
    </row>
    <row r="57" spans="1:20" ht="15" customHeight="1" x14ac:dyDescent="0.25">
      <c r="A57" s="451">
        <v>12000</v>
      </c>
      <c r="B57" s="426" t="s">
        <v>5</v>
      </c>
      <c r="E57" s="452">
        <v>25793</v>
      </c>
      <c r="F57" s="453">
        <v>25348</v>
      </c>
      <c r="G57" s="453">
        <f>E57+F57</f>
        <v>51141</v>
      </c>
      <c r="H57" s="428">
        <f>G57/$G$72</f>
        <v>3.9088104730225504E-2</v>
      </c>
      <c r="Q57" s="452">
        <v>196009</v>
      </c>
      <c r="R57" s="428">
        <f>Q57/$Q$72</f>
        <v>7.5324616191487836E-2</v>
      </c>
      <c r="S57" s="452">
        <v>76.620999999999995</v>
      </c>
      <c r="T57" s="428">
        <f>S57/$S$72</f>
        <v>0.12039594065761221</v>
      </c>
    </row>
    <row r="58" spans="1:20" ht="15" customHeight="1" x14ac:dyDescent="0.25">
      <c r="A58" s="454">
        <v>13000</v>
      </c>
      <c r="B58" s="434" t="s">
        <v>6</v>
      </c>
      <c r="E58" s="455">
        <v>29968</v>
      </c>
      <c r="F58" s="456">
        <v>26034</v>
      </c>
      <c r="G58" s="456">
        <f t="shared" ref="G58:G71" si="19">E58+F58</f>
        <v>56002</v>
      </c>
      <c r="H58" s="436">
        <f t="shared" ref="H58:H71" si="20">G58/$G$72</f>
        <v>4.2803465733992074E-2</v>
      </c>
      <c r="Q58" s="455">
        <v>66535</v>
      </c>
      <c r="R58" s="436">
        <f t="shared" ref="R58:R71" si="21">Q58/$Q$72</f>
        <v>2.5568842952622801E-2</v>
      </c>
      <c r="S58" s="455">
        <v>16.62</v>
      </c>
      <c r="T58" s="436">
        <f t="shared" ref="T58:T71" si="22">S58/$S$72</f>
        <v>2.611530172837101E-2</v>
      </c>
    </row>
    <row r="59" spans="1:20" ht="15" customHeight="1" x14ac:dyDescent="0.25">
      <c r="A59" s="454">
        <v>16000</v>
      </c>
      <c r="B59" s="434" t="s">
        <v>9</v>
      </c>
      <c r="E59" s="455">
        <v>4139</v>
      </c>
      <c r="F59" s="456">
        <v>19004</v>
      </c>
      <c r="G59" s="456">
        <f t="shared" si="19"/>
        <v>23143</v>
      </c>
      <c r="H59" s="436">
        <f t="shared" si="20"/>
        <v>1.7688664824145186E-2</v>
      </c>
      <c r="Q59" s="455">
        <v>53352.13</v>
      </c>
      <c r="R59" s="436">
        <f t="shared" si="21"/>
        <v>2.0502776480918548E-2</v>
      </c>
      <c r="S59" s="455">
        <v>26.139999999999997</v>
      </c>
      <c r="T59" s="436">
        <f t="shared" si="22"/>
        <v>4.1074247122720703E-2</v>
      </c>
    </row>
    <row r="60" spans="1:20" ht="15" customHeight="1" x14ac:dyDescent="0.25">
      <c r="A60" s="454">
        <v>17000</v>
      </c>
      <c r="B60" s="434" t="s">
        <v>10</v>
      </c>
      <c r="E60" s="455">
        <v>34524</v>
      </c>
      <c r="F60" s="456">
        <v>34329</v>
      </c>
      <c r="G60" s="456">
        <f t="shared" si="19"/>
        <v>68853</v>
      </c>
      <c r="H60" s="436">
        <f t="shared" si="20"/>
        <v>5.2625745976617913E-2</v>
      </c>
      <c r="Q60" s="455">
        <v>79451</v>
      </c>
      <c r="R60" s="436">
        <f t="shared" si="21"/>
        <v>3.0532353519633789E-2</v>
      </c>
      <c r="S60" s="455">
        <v>49.3</v>
      </c>
      <c r="T60" s="436">
        <f t="shared" si="22"/>
        <v>7.7465967220739507E-2</v>
      </c>
    </row>
    <row r="61" spans="1:20" ht="15" customHeight="1" x14ac:dyDescent="0.25">
      <c r="A61" s="454">
        <v>18000</v>
      </c>
      <c r="B61" s="434" t="s">
        <v>11</v>
      </c>
      <c r="E61" s="455">
        <v>35089</v>
      </c>
      <c r="F61" s="456">
        <v>39534</v>
      </c>
      <c r="G61" s="456">
        <f t="shared" si="19"/>
        <v>74623</v>
      </c>
      <c r="H61" s="436">
        <f t="shared" si="20"/>
        <v>5.7035874137846693E-2</v>
      </c>
      <c r="Q61" s="455">
        <v>27785</v>
      </c>
      <c r="R61" s="436">
        <f t="shared" si="21"/>
        <v>1.0677542668349358E-2</v>
      </c>
      <c r="S61" s="455">
        <v>21.09</v>
      </c>
      <c r="T61" s="436">
        <f t="shared" si="22"/>
        <v>3.3139092265423858E-2</v>
      </c>
    </row>
    <row r="62" spans="1:20" ht="15" customHeight="1" x14ac:dyDescent="0.25">
      <c r="A62" s="454">
        <v>19000</v>
      </c>
      <c r="B62" s="434" t="s">
        <v>12</v>
      </c>
      <c r="E62" s="455">
        <v>12494</v>
      </c>
      <c r="F62" s="456">
        <v>5418</v>
      </c>
      <c r="G62" s="456">
        <f t="shared" si="19"/>
        <v>17912</v>
      </c>
      <c r="H62" s="436">
        <f t="shared" si="20"/>
        <v>1.36905053074402E-2</v>
      </c>
      <c r="Q62" s="455">
        <v>27062</v>
      </c>
      <c r="R62" s="436">
        <f t="shared" si="21"/>
        <v>1.0399699826916334E-2</v>
      </c>
      <c r="S62" s="455">
        <v>28.289000000000001</v>
      </c>
      <c r="T62" s="436">
        <f t="shared" si="22"/>
        <v>4.4451009061004056E-2</v>
      </c>
    </row>
    <row r="63" spans="1:20" ht="15" customHeight="1" x14ac:dyDescent="0.25">
      <c r="A63" s="454">
        <v>22000</v>
      </c>
      <c r="B63" s="434" t="s">
        <v>14</v>
      </c>
      <c r="E63" s="455">
        <v>15945</v>
      </c>
      <c r="F63" s="456">
        <v>35011</v>
      </c>
      <c r="G63" s="456">
        <f t="shared" si="19"/>
        <v>50956</v>
      </c>
      <c r="H63" s="436">
        <f t="shared" si="20"/>
        <v>3.8946705473756296E-2</v>
      </c>
      <c r="Q63" s="455">
        <v>423563.57134999998</v>
      </c>
      <c r="R63" s="436">
        <f t="shared" si="21"/>
        <v>0.16277193110844207</v>
      </c>
      <c r="S63" s="455">
        <v>58.75</v>
      </c>
      <c r="T63" s="436">
        <f t="shared" si="22"/>
        <v>9.2314920369542516E-2</v>
      </c>
    </row>
    <row r="64" spans="1:20" ht="15" customHeight="1" x14ac:dyDescent="0.25">
      <c r="A64" s="454">
        <v>23000</v>
      </c>
      <c r="B64" s="434" t="s">
        <v>15</v>
      </c>
      <c r="E64" s="455">
        <v>46361</v>
      </c>
      <c r="F64" s="456">
        <v>45827</v>
      </c>
      <c r="G64" s="456">
        <f t="shared" si="19"/>
        <v>92188</v>
      </c>
      <c r="H64" s="436">
        <f t="shared" si="20"/>
        <v>7.0461160299368983E-2</v>
      </c>
      <c r="Q64" s="455">
        <v>331632</v>
      </c>
      <c r="R64" s="436">
        <f t="shared" si="21"/>
        <v>0.12744339860320442</v>
      </c>
      <c r="S64" s="455">
        <v>51.2</v>
      </c>
      <c r="T64" s="436">
        <f t="shared" si="22"/>
        <v>8.0451471028435362E-2</v>
      </c>
    </row>
    <row r="65" spans="1:20" ht="15" customHeight="1" x14ac:dyDescent="0.25">
      <c r="A65" s="454">
        <v>24000</v>
      </c>
      <c r="B65" s="434" t="s">
        <v>16</v>
      </c>
      <c r="E65" s="455">
        <v>32912</v>
      </c>
      <c r="F65" s="456">
        <v>33714</v>
      </c>
      <c r="G65" s="456">
        <f t="shared" si="19"/>
        <v>66626</v>
      </c>
      <c r="H65" s="436">
        <f t="shared" si="20"/>
        <v>5.0923604656850759E-2</v>
      </c>
      <c r="Q65" s="455">
        <v>170062.05300000001</v>
      </c>
      <c r="R65" s="436">
        <f t="shared" si="21"/>
        <v>6.5353421888594207E-2</v>
      </c>
      <c r="S65" s="455">
        <v>42.95</v>
      </c>
      <c r="T65" s="436">
        <f t="shared" si="22"/>
        <v>6.7488099231861304E-2</v>
      </c>
    </row>
    <row r="66" spans="1:20" ht="15" customHeight="1" x14ac:dyDescent="0.25">
      <c r="A66" s="454">
        <v>25000</v>
      </c>
      <c r="B66" s="434" t="s">
        <v>17</v>
      </c>
      <c r="E66" s="455">
        <v>24670</v>
      </c>
      <c r="F66" s="456">
        <v>26450</v>
      </c>
      <c r="G66" s="456">
        <f t="shared" si="19"/>
        <v>51120</v>
      </c>
      <c r="H66" s="436">
        <f t="shared" si="20"/>
        <v>3.9072054003815485E-2</v>
      </c>
      <c r="Q66" s="455">
        <v>139819.60800000001</v>
      </c>
      <c r="R66" s="436">
        <f t="shared" si="21"/>
        <v>5.3731503699545845E-2</v>
      </c>
      <c r="S66" s="455">
        <v>27.41</v>
      </c>
      <c r="T66" s="436">
        <f t="shared" si="22"/>
        <v>4.3069820720496345E-2</v>
      </c>
    </row>
    <row r="67" spans="1:20" ht="15" customHeight="1" x14ac:dyDescent="0.25">
      <c r="A67" s="454">
        <v>27000</v>
      </c>
      <c r="B67" s="434" t="s">
        <v>19</v>
      </c>
      <c r="E67" s="455">
        <v>28771</v>
      </c>
      <c r="F67" s="456">
        <v>88132</v>
      </c>
      <c r="G67" s="456">
        <f t="shared" si="19"/>
        <v>116903</v>
      </c>
      <c r="H67" s="436">
        <f t="shared" si="20"/>
        <v>8.9351336643349807E-2</v>
      </c>
      <c r="Q67" s="455">
        <v>451282</v>
      </c>
      <c r="R67" s="436">
        <f t="shared" si="21"/>
        <v>0.1734238909648384</v>
      </c>
      <c r="S67" s="455">
        <v>39.602000000000004</v>
      </c>
      <c r="T67" s="436">
        <f t="shared" si="22"/>
        <v>6.2227327259142519E-2</v>
      </c>
    </row>
    <row r="68" spans="1:20" ht="15" customHeight="1" x14ac:dyDescent="0.25">
      <c r="A68" s="454">
        <v>28000</v>
      </c>
      <c r="B68" s="434" t="s">
        <v>20</v>
      </c>
      <c r="E68" s="455">
        <v>31498</v>
      </c>
      <c r="F68" s="456">
        <v>43613</v>
      </c>
      <c r="G68" s="456">
        <f t="shared" si="19"/>
        <v>75111</v>
      </c>
      <c r="H68" s="436">
        <f t="shared" si="20"/>
        <v>5.7408862446803308E-2</v>
      </c>
      <c r="Q68" s="455">
        <v>99312</v>
      </c>
      <c r="R68" s="436">
        <f t="shared" si="21"/>
        <v>3.8164769389206821E-2</v>
      </c>
      <c r="S68" s="455">
        <v>69.852000000000004</v>
      </c>
      <c r="T68" s="436">
        <f t="shared" si="22"/>
        <v>0.1097596905132474</v>
      </c>
    </row>
    <row r="69" spans="1:20" ht="15" customHeight="1" x14ac:dyDescent="0.25">
      <c r="A69" s="454">
        <v>31000</v>
      </c>
      <c r="B69" s="434" t="s">
        <v>21</v>
      </c>
      <c r="E69" s="455">
        <v>110757</v>
      </c>
      <c r="F69" s="456">
        <v>131889</v>
      </c>
      <c r="G69" s="456">
        <f t="shared" si="19"/>
        <v>242646</v>
      </c>
      <c r="H69" s="436">
        <f t="shared" si="20"/>
        <v>0.18545926478501198</v>
      </c>
      <c r="Q69" s="455">
        <v>118626.12876000002</v>
      </c>
      <c r="R69" s="436">
        <f t="shared" si="21"/>
        <v>4.5587027223897972E-2</v>
      </c>
      <c r="S69" s="455">
        <v>32.577500000000001</v>
      </c>
      <c r="T69" s="436">
        <f t="shared" si="22"/>
        <v>5.1189605418532277E-2</v>
      </c>
    </row>
    <row r="70" spans="1:20" ht="15" customHeight="1" x14ac:dyDescent="0.25">
      <c r="A70" s="454">
        <v>41000</v>
      </c>
      <c r="B70" s="434" t="s">
        <v>22</v>
      </c>
      <c r="E70" s="455">
        <v>64652</v>
      </c>
      <c r="F70" s="456">
        <v>138627</v>
      </c>
      <c r="G70" s="456">
        <f t="shared" si="19"/>
        <v>203279</v>
      </c>
      <c r="H70" s="436">
        <f t="shared" si="20"/>
        <v>0.15537026732866996</v>
      </c>
      <c r="Q70" s="455">
        <v>239180</v>
      </c>
      <c r="R70" s="436">
        <f t="shared" si="21"/>
        <v>9.1914869728839291E-2</v>
      </c>
      <c r="S70" s="455">
        <v>56.19</v>
      </c>
      <c r="T70" s="436">
        <f t="shared" si="22"/>
        <v>8.8292346818120745E-2</v>
      </c>
    </row>
    <row r="71" spans="1:20" ht="15" customHeight="1" thickBot="1" x14ac:dyDescent="0.3">
      <c r="A71" s="457">
        <v>43000</v>
      </c>
      <c r="B71" s="441" t="s">
        <v>23</v>
      </c>
      <c r="E71" s="458">
        <v>39294</v>
      </c>
      <c r="F71" s="456">
        <v>78555</v>
      </c>
      <c r="G71" s="459">
        <f t="shared" si="19"/>
        <v>117849</v>
      </c>
      <c r="H71" s="444">
        <f t="shared" si="20"/>
        <v>9.0074383652105849E-2</v>
      </c>
      <c r="Q71" s="455">
        <v>178519</v>
      </c>
      <c r="R71" s="436">
        <f t="shared" si="21"/>
        <v>6.8603355753502224E-2</v>
      </c>
      <c r="S71" s="455">
        <v>39.817</v>
      </c>
      <c r="T71" s="436">
        <f t="shared" si="22"/>
        <v>6.2565160584750201E-2</v>
      </c>
    </row>
    <row r="72" spans="1:20" ht="15" customHeight="1" thickBot="1" x14ac:dyDescent="0.3">
      <c r="A72" s="460">
        <v>2017</v>
      </c>
      <c r="B72" s="461" t="s">
        <v>143</v>
      </c>
      <c r="E72" s="462">
        <f>SUM(E57:E71)</f>
        <v>536867</v>
      </c>
      <c r="F72" s="463">
        <f>SUM(F57:F71)</f>
        <v>771485</v>
      </c>
      <c r="G72" s="463">
        <f>SUM(G57:G71)</f>
        <v>1308352</v>
      </c>
      <c r="H72" s="446">
        <f>SUM(H57:H71)</f>
        <v>1</v>
      </c>
      <c r="Q72" s="462">
        <f>SUM(Q57:Q71)</f>
        <v>2602190.4911100003</v>
      </c>
      <c r="R72" s="446">
        <f>SUM(R57:R71)</f>
        <v>1</v>
      </c>
      <c r="S72" s="462">
        <f>SUM(S57:S71)</f>
        <v>636.4085</v>
      </c>
      <c r="T72" s="446">
        <f>SUM(T57:T71)</f>
        <v>1</v>
      </c>
    </row>
    <row r="73" spans="1:20" ht="15" customHeight="1" thickBot="1" x14ac:dyDescent="0.3">
      <c r="E73" s="12"/>
      <c r="F73" s="12"/>
      <c r="G73" s="12"/>
    </row>
    <row r="74" spans="1:20" ht="15" customHeight="1" x14ac:dyDescent="0.25">
      <c r="A74" s="451">
        <v>12000</v>
      </c>
      <c r="B74" s="426" t="s">
        <v>5</v>
      </c>
      <c r="Q74" s="452">
        <v>183042</v>
      </c>
      <c r="R74" s="428">
        <f>Q74/$Q$89</f>
        <v>7.2785443678992728E-2</v>
      </c>
    </row>
    <row r="75" spans="1:20" ht="15" customHeight="1" x14ac:dyDescent="0.25">
      <c r="A75" s="454">
        <v>13000</v>
      </c>
      <c r="B75" s="434" t="s">
        <v>6</v>
      </c>
      <c r="Q75" s="455">
        <v>46365</v>
      </c>
      <c r="R75" s="436">
        <f t="shared" ref="R75:R88" si="23">Q75/$Q$89</f>
        <v>1.8436736356554767E-2</v>
      </c>
    </row>
    <row r="76" spans="1:20" ht="15" customHeight="1" x14ac:dyDescent="0.25">
      <c r="A76" s="454">
        <v>16000</v>
      </c>
      <c r="B76" s="434" t="s">
        <v>9</v>
      </c>
      <c r="Q76" s="455">
        <v>47236.95</v>
      </c>
      <c r="R76" s="436">
        <f t="shared" si="23"/>
        <v>1.8783461521357913E-2</v>
      </c>
    </row>
    <row r="77" spans="1:20" ht="15" customHeight="1" x14ac:dyDescent="0.25">
      <c r="A77" s="454">
        <v>17000</v>
      </c>
      <c r="B77" s="434" t="s">
        <v>10</v>
      </c>
      <c r="Q77" s="455">
        <v>76568</v>
      </c>
      <c r="R77" s="436">
        <f t="shared" si="23"/>
        <v>3.0446760042029234E-2</v>
      </c>
    </row>
    <row r="78" spans="1:20" ht="15" customHeight="1" x14ac:dyDescent="0.25">
      <c r="A78" s="454">
        <v>18000</v>
      </c>
      <c r="B78" s="434" t="s">
        <v>11</v>
      </c>
      <c r="Q78" s="455">
        <v>21599</v>
      </c>
      <c r="R78" s="436">
        <f t="shared" si="23"/>
        <v>8.5886998504308525E-3</v>
      </c>
    </row>
    <row r="79" spans="1:20" ht="15" customHeight="1" x14ac:dyDescent="0.25">
      <c r="A79" s="454">
        <v>19000</v>
      </c>
      <c r="B79" s="434" t="s">
        <v>12</v>
      </c>
      <c r="Q79" s="455">
        <v>27988</v>
      </c>
      <c r="R79" s="436">
        <f t="shared" si="23"/>
        <v>1.1129243548954056E-2</v>
      </c>
    </row>
    <row r="80" spans="1:20" ht="15" customHeight="1" x14ac:dyDescent="0.25">
      <c r="A80" s="454">
        <v>22000</v>
      </c>
      <c r="B80" s="434" t="s">
        <v>14</v>
      </c>
      <c r="Q80" s="455">
        <v>467007.81292999996</v>
      </c>
      <c r="R80" s="436">
        <f t="shared" si="23"/>
        <v>0.18570257572396545</v>
      </c>
    </row>
    <row r="81" spans="1:18" ht="15" customHeight="1" x14ac:dyDescent="0.25">
      <c r="A81" s="454">
        <v>23000</v>
      </c>
      <c r="B81" s="434" t="s">
        <v>15</v>
      </c>
      <c r="Q81" s="455">
        <v>355523</v>
      </c>
      <c r="R81" s="436">
        <f t="shared" si="23"/>
        <v>0.14137137538426445</v>
      </c>
    </row>
    <row r="82" spans="1:18" ht="15" customHeight="1" x14ac:dyDescent="0.25">
      <c r="A82" s="454">
        <v>24000</v>
      </c>
      <c r="B82" s="434" t="s">
        <v>16</v>
      </c>
      <c r="Q82" s="455">
        <v>147144</v>
      </c>
      <c r="R82" s="436">
        <f t="shared" si="23"/>
        <v>5.8510840816324704E-2</v>
      </c>
    </row>
    <row r="83" spans="1:18" ht="15" customHeight="1" x14ac:dyDescent="0.25">
      <c r="A83" s="454">
        <v>25000</v>
      </c>
      <c r="B83" s="434" t="s">
        <v>17</v>
      </c>
      <c r="Q83" s="455">
        <v>154562.26</v>
      </c>
      <c r="R83" s="436">
        <f t="shared" si="23"/>
        <v>6.1460662963297122E-2</v>
      </c>
    </row>
    <row r="84" spans="1:18" ht="15" customHeight="1" x14ac:dyDescent="0.25">
      <c r="A84" s="454">
        <v>27000</v>
      </c>
      <c r="B84" s="434" t="s">
        <v>19</v>
      </c>
      <c r="Q84" s="455">
        <v>437709</v>
      </c>
      <c r="R84" s="436">
        <f t="shared" si="23"/>
        <v>0.17405209606149533</v>
      </c>
    </row>
    <row r="85" spans="1:18" ht="15" customHeight="1" x14ac:dyDescent="0.25">
      <c r="A85" s="454">
        <v>28000</v>
      </c>
      <c r="B85" s="434" t="s">
        <v>20</v>
      </c>
      <c r="Q85" s="455">
        <v>73644</v>
      </c>
      <c r="R85" s="436">
        <f t="shared" si="23"/>
        <v>2.9284050733141796E-2</v>
      </c>
    </row>
    <row r="86" spans="1:18" ht="15" customHeight="1" x14ac:dyDescent="0.25">
      <c r="A86" s="454">
        <v>31000</v>
      </c>
      <c r="B86" s="434" t="s">
        <v>21</v>
      </c>
      <c r="Q86" s="455">
        <v>78302</v>
      </c>
      <c r="R86" s="436">
        <f t="shared" si="23"/>
        <v>3.1136273701950858E-2</v>
      </c>
    </row>
    <row r="87" spans="1:18" ht="15" customHeight="1" x14ac:dyDescent="0.25">
      <c r="A87" s="454">
        <v>41000</v>
      </c>
      <c r="B87" s="434" t="s">
        <v>22</v>
      </c>
      <c r="Q87" s="455">
        <v>214531</v>
      </c>
      <c r="R87" s="436">
        <f t="shared" si="23"/>
        <v>8.5306836780072268E-2</v>
      </c>
    </row>
    <row r="88" spans="1:18" ht="15" customHeight="1" thickBot="1" x14ac:dyDescent="0.3">
      <c r="A88" s="457">
        <v>43000</v>
      </c>
      <c r="B88" s="441" t="s">
        <v>23</v>
      </c>
      <c r="Q88" s="455">
        <v>183594</v>
      </c>
      <c r="R88" s="436">
        <f t="shared" si="23"/>
        <v>7.3004942837168477E-2</v>
      </c>
    </row>
    <row r="89" spans="1:18" ht="15" customHeight="1" thickBot="1" x14ac:dyDescent="0.3">
      <c r="A89" s="460">
        <v>2016</v>
      </c>
      <c r="B89" s="461" t="s">
        <v>143</v>
      </c>
      <c r="Q89" s="462">
        <f>SUM(Q74:Q88)</f>
        <v>2514816.02293</v>
      </c>
      <c r="R89" s="446">
        <f>SUM(R74:R88)</f>
        <v>1</v>
      </c>
    </row>
    <row r="90" spans="1:18" ht="15" customHeight="1" x14ac:dyDescent="0.25"/>
    <row r="91" spans="1:18" x14ac:dyDescent="0.25">
      <c r="A91" s="41" t="s">
        <v>311</v>
      </c>
    </row>
  </sheetData>
  <mergeCells count="14">
    <mergeCell ref="V4:V5"/>
    <mergeCell ref="A21:B21"/>
    <mergeCell ref="K4:L4"/>
    <mergeCell ref="M4:N4"/>
    <mergeCell ref="O4:P4"/>
    <mergeCell ref="Q4:R4"/>
    <mergeCell ref="S4:T4"/>
    <mergeCell ref="U4:U5"/>
    <mergeCell ref="I4:J4"/>
    <mergeCell ref="A3:B3"/>
    <mergeCell ref="A4:A5"/>
    <mergeCell ref="B4:B5"/>
    <mergeCell ref="C4:D4"/>
    <mergeCell ref="E4:H4"/>
  </mergeCells>
  <hyperlinks>
    <hyperlink ref="A91" location="'0 Seznam'!A1" display="Seznam"/>
  </hyperlinks>
  <pageMargins left="0.70866141732283472" right="0.70866141732283472" top="0.78740157480314965" bottom="0.78740157480314965" header="0.31496062992125984" footer="0.31496062992125984"/>
  <pageSetup paperSize="8" scale="66" orientation="landscape" r:id="rId1"/>
  <headerFooter>
    <oddHeader xml:space="preserve">&amp;LČ. j. MSMT-1753/2020-1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C2E6"/>
  </sheetPr>
  <dimension ref="A1:V42"/>
  <sheetViews>
    <sheetView zoomScale="85" zoomScaleNormal="85" workbookViewId="0">
      <selection activeCell="A41" sqref="A41"/>
    </sheetView>
  </sheetViews>
  <sheetFormatPr defaultRowHeight="15" x14ac:dyDescent="0.25"/>
  <cols>
    <col min="1" max="1" width="10.5703125" style="43" customWidth="1"/>
    <col min="2" max="2" width="52.28515625" style="43" customWidth="1"/>
    <col min="3" max="20" width="10.85546875" style="43" customWidth="1"/>
    <col min="21" max="22" width="15.7109375" style="43" customWidth="1"/>
    <col min="23" max="16384" width="9.140625" style="43"/>
  </cols>
  <sheetData>
    <row r="1" spans="1:22" ht="27.75" x14ac:dyDescent="0.25">
      <c r="A1" s="341" t="s">
        <v>150</v>
      </c>
    </row>
    <row r="2" spans="1:22" ht="15.75" thickBot="1" x14ac:dyDescent="0.3"/>
    <row r="3" spans="1:22" ht="15.75" thickBot="1" x14ac:dyDescent="0.3">
      <c r="A3" s="977" t="s">
        <v>132</v>
      </c>
      <c r="B3" s="978"/>
      <c r="C3" s="342"/>
      <c r="D3" s="346">
        <v>0.15</v>
      </c>
      <c r="E3" s="345"/>
      <c r="F3" s="423"/>
      <c r="G3" s="423"/>
      <c r="H3" s="346">
        <v>0.22</v>
      </c>
      <c r="I3" s="345"/>
      <c r="J3" s="346">
        <v>0.1</v>
      </c>
      <c r="K3" s="345"/>
      <c r="L3" s="346">
        <v>0.3</v>
      </c>
      <c r="M3" s="345"/>
      <c r="N3" s="346">
        <v>0.03</v>
      </c>
      <c r="O3" s="345"/>
      <c r="P3" s="346">
        <v>3.5000000000000003E-2</v>
      </c>
      <c r="Q3" s="345"/>
      <c r="R3" s="346">
        <v>6.5000000000000002E-2</v>
      </c>
      <c r="S3" s="345"/>
      <c r="T3" s="346">
        <v>0.1</v>
      </c>
      <c r="U3" s="424">
        <f>SUM(C3:T3)</f>
        <v>1.0000000000000002</v>
      </c>
      <c r="V3" s="348">
        <v>0.55784703168863981</v>
      </c>
    </row>
    <row r="4" spans="1:22" ht="30" customHeight="1" x14ac:dyDescent="0.25">
      <c r="A4" s="979" t="s">
        <v>2</v>
      </c>
      <c r="B4" s="981" t="s">
        <v>3</v>
      </c>
      <c r="C4" s="973" t="s">
        <v>144</v>
      </c>
      <c r="D4" s="974"/>
      <c r="E4" s="991" t="s">
        <v>133</v>
      </c>
      <c r="F4" s="992"/>
      <c r="G4" s="992"/>
      <c r="H4" s="993"/>
      <c r="I4" s="973" t="s">
        <v>134</v>
      </c>
      <c r="J4" s="974"/>
      <c r="K4" s="979" t="s">
        <v>135</v>
      </c>
      <c r="L4" s="996"/>
      <c r="M4" s="979" t="s">
        <v>136</v>
      </c>
      <c r="N4" s="996"/>
      <c r="O4" s="979" t="s">
        <v>218</v>
      </c>
      <c r="P4" s="996"/>
      <c r="Q4" s="979" t="s">
        <v>137</v>
      </c>
      <c r="R4" s="996"/>
      <c r="S4" s="979" t="s">
        <v>146</v>
      </c>
      <c r="T4" s="996"/>
      <c r="U4" s="986" t="s">
        <v>138</v>
      </c>
      <c r="V4" s="986" t="s">
        <v>139</v>
      </c>
    </row>
    <row r="5" spans="1:22" ht="15.75" thickBot="1" x14ac:dyDescent="0.3">
      <c r="A5" s="980"/>
      <c r="B5" s="982"/>
      <c r="C5" s="353" t="s">
        <v>30</v>
      </c>
      <c r="D5" s="354" t="s">
        <v>142</v>
      </c>
      <c r="E5" s="349" t="s">
        <v>140</v>
      </c>
      <c r="F5" s="350" t="s">
        <v>141</v>
      </c>
      <c r="G5" s="351" t="s">
        <v>30</v>
      </c>
      <c r="H5" s="352" t="s">
        <v>142</v>
      </c>
      <c r="I5" s="353" t="s">
        <v>30</v>
      </c>
      <c r="J5" s="354" t="s">
        <v>142</v>
      </c>
      <c r="K5" s="353" t="s">
        <v>30</v>
      </c>
      <c r="L5" s="354" t="s">
        <v>142</v>
      </c>
      <c r="M5" s="353" t="s">
        <v>30</v>
      </c>
      <c r="N5" s="354" t="s">
        <v>142</v>
      </c>
      <c r="O5" s="353" t="s">
        <v>30</v>
      </c>
      <c r="P5" s="354" t="s">
        <v>142</v>
      </c>
      <c r="Q5" s="353" t="s">
        <v>30</v>
      </c>
      <c r="R5" s="354" t="s">
        <v>142</v>
      </c>
      <c r="S5" s="353" t="s">
        <v>30</v>
      </c>
      <c r="T5" s="354" t="s">
        <v>142</v>
      </c>
      <c r="U5" s="987"/>
      <c r="V5" s="987"/>
    </row>
    <row r="6" spans="1:22" x14ac:dyDescent="0.25">
      <c r="A6" s="464">
        <v>11000</v>
      </c>
      <c r="B6" s="465" t="s">
        <v>4</v>
      </c>
      <c r="C6" s="466"/>
      <c r="D6" s="467">
        <f>D13</f>
        <v>0.2905653114473688</v>
      </c>
      <c r="E6" s="466"/>
      <c r="F6" s="468"/>
      <c r="G6" s="469"/>
      <c r="H6" s="467">
        <f>0.5*H13+0.3*H20+0.2*H27</f>
        <v>0.39026634534439369</v>
      </c>
      <c r="I6" s="466"/>
      <c r="J6" s="467">
        <f>J13</f>
        <v>0.34810710117580851</v>
      </c>
      <c r="K6" s="466"/>
      <c r="L6" s="470">
        <f>L13</f>
        <v>0.42087168836030059</v>
      </c>
      <c r="M6" s="466"/>
      <c r="N6" s="467">
        <f>N13</f>
        <v>0.10376323490101112</v>
      </c>
      <c r="O6" s="466"/>
      <c r="P6" s="470">
        <f>P13</f>
        <v>0.6389904265828189</v>
      </c>
      <c r="Q6" s="466"/>
      <c r="R6" s="467">
        <f>0.5*R20+0.3*R27+0.2*R34</f>
        <v>0.34276214795999338</v>
      </c>
      <c r="S6" s="466"/>
      <c r="T6" s="467">
        <f>0.65*T20+0.35*T27</f>
        <v>0.40924357215561524</v>
      </c>
      <c r="U6" s="471">
        <f t="array" ref="U6">SUM($C$3:$T$3*C6:T6)</f>
        <v>0.37919706812893311</v>
      </c>
      <c r="V6" s="472">
        <f>U6*$V$3</f>
        <v>0.21153395888076026</v>
      </c>
    </row>
    <row r="7" spans="1:22" x14ac:dyDescent="0.25">
      <c r="A7" s="464">
        <v>14000</v>
      </c>
      <c r="B7" s="473" t="s">
        <v>7</v>
      </c>
      <c r="C7" s="474"/>
      <c r="D7" s="475">
        <f>D14</f>
        <v>0.25004029193293287</v>
      </c>
      <c r="E7" s="468"/>
      <c r="F7" s="468"/>
      <c r="G7" s="468"/>
      <c r="H7" s="476">
        <f>0.5*H14+0.3*H21+0.2*H28</f>
        <v>0.2526764819489441</v>
      </c>
      <c r="I7" s="474"/>
      <c r="J7" s="475">
        <f>J14</f>
        <v>0.21018760137586151</v>
      </c>
      <c r="K7" s="474"/>
      <c r="L7" s="476">
        <f>L14</f>
        <v>0.19024504904427395</v>
      </c>
      <c r="M7" s="474"/>
      <c r="N7" s="475">
        <f>N14</f>
        <v>6.4062968871889628E-2</v>
      </c>
      <c r="O7" s="474"/>
      <c r="P7" s="476">
        <f>P14</f>
        <v>0.18119091525929201</v>
      </c>
      <c r="Q7" s="474"/>
      <c r="R7" s="475">
        <f>0.5*R21+0.3*R28+0.2*R35</f>
        <v>0.19389198561821783</v>
      </c>
      <c r="S7" s="474"/>
      <c r="T7" s="475">
        <f>0.65*T21+0.35*T28</f>
        <v>0.21670349116219995</v>
      </c>
      <c r="U7" s="477">
        <f t="array" ref="U7">SUM($C$3:$T$3*C7:T7)</f>
        <v>0.21372404395121203</v>
      </c>
      <c r="V7" s="478">
        <f>U7*$V$3</f>
        <v>0.11922532351867603</v>
      </c>
    </row>
    <row r="8" spans="1:22" x14ac:dyDescent="0.25">
      <c r="A8" s="464">
        <v>15000</v>
      </c>
      <c r="B8" s="473" t="s">
        <v>8</v>
      </c>
      <c r="C8" s="474"/>
      <c r="D8" s="475">
        <f>D15</f>
        <v>0.15626530246605866</v>
      </c>
      <c r="E8" s="468"/>
      <c r="F8" s="468"/>
      <c r="G8" s="468"/>
      <c r="H8" s="476">
        <f>0.5*H15+0.3*H22+0.2*H29</f>
        <v>0.11699716925033009</v>
      </c>
      <c r="I8" s="474"/>
      <c r="J8" s="475">
        <f>J15</f>
        <v>0.15003019803464177</v>
      </c>
      <c r="K8" s="474"/>
      <c r="L8" s="476">
        <f>L15</f>
        <v>0.14405888003734002</v>
      </c>
      <c r="M8" s="474"/>
      <c r="N8" s="475">
        <f>N15</f>
        <v>0.11608534174898789</v>
      </c>
      <c r="O8" s="474"/>
      <c r="P8" s="476">
        <f>P15</f>
        <v>8.5150600575449431E-2</v>
      </c>
      <c r="Q8" s="474"/>
      <c r="R8" s="475">
        <f>0.5*R22+0.3*R29+0.2*R36</f>
        <v>0.10304548251126439</v>
      </c>
      <c r="S8" s="474"/>
      <c r="T8" s="475">
        <f>0.65*T22+0.35*T29</f>
        <v>0.17535786449954177</v>
      </c>
      <c r="U8" s="477">
        <f t="array" ref="U8">SUM($C$3:$T$3*C8:T8)</f>
        <v>0.13809643050544435</v>
      </c>
      <c r="V8" s="478">
        <f>U8*$V$3</f>
        <v>7.7036683844258658E-2</v>
      </c>
    </row>
    <row r="9" spans="1:22" x14ac:dyDescent="0.25">
      <c r="A9" s="464">
        <v>21000</v>
      </c>
      <c r="B9" s="473" t="s">
        <v>13</v>
      </c>
      <c r="C9" s="474"/>
      <c r="D9" s="475">
        <f>D16</f>
        <v>0.14125623043377653</v>
      </c>
      <c r="E9" s="468"/>
      <c r="F9" s="468"/>
      <c r="G9" s="468"/>
      <c r="H9" s="476">
        <f>0.5*H16+0.3*H23+0.2*H30</f>
        <v>0.14590622012763602</v>
      </c>
      <c r="I9" s="474"/>
      <c r="J9" s="475">
        <f>J16</f>
        <v>0.14925824393549819</v>
      </c>
      <c r="K9" s="474"/>
      <c r="L9" s="476">
        <f>L16</f>
        <v>0.15093748864271297</v>
      </c>
      <c r="M9" s="474"/>
      <c r="N9" s="475">
        <f>N16</f>
        <v>0.40230781559865014</v>
      </c>
      <c r="O9" s="474"/>
      <c r="P9" s="476">
        <f>P16</f>
        <v>8.3623311812103432E-2</v>
      </c>
      <c r="Q9" s="474"/>
      <c r="R9" s="475">
        <f>0.5*R23+0.3*R30+0.2*R37</f>
        <v>0.20040298580869106</v>
      </c>
      <c r="S9" s="474"/>
      <c r="T9" s="475">
        <f>0.65*T23+0.35*T30</f>
        <v>0.13612020412350034</v>
      </c>
      <c r="U9" s="477">
        <f t="array" ref="U9">SUM($C$3:$T$3*C9:T9)</f>
        <v>0.1551291388508082</v>
      </c>
      <c r="V9" s="478">
        <f>U9*$V$3</f>
        <v>8.6538329636338202E-2</v>
      </c>
    </row>
    <row r="10" spans="1:22" ht="15.75" thickBot="1" x14ac:dyDescent="0.3">
      <c r="A10" s="479">
        <v>26000</v>
      </c>
      <c r="B10" s="480" t="s">
        <v>18</v>
      </c>
      <c r="C10" s="474"/>
      <c r="D10" s="475">
        <f>D17</f>
        <v>0.16187286371986317</v>
      </c>
      <c r="E10" s="481"/>
      <c r="F10" s="468"/>
      <c r="G10" s="482"/>
      <c r="H10" s="483">
        <f>0.5*H17+0.3*H24+0.2*H31</f>
        <v>9.4153783328696089E-2</v>
      </c>
      <c r="I10" s="474"/>
      <c r="J10" s="475">
        <f>J17</f>
        <v>0.14241685547819</v>
      </c>
      <c r="K10" s="474"/>
      <c r="L10" s="476">
        <f>L17</f>
        <v>9.3886893915372374E-2</v>
      </c>
      <c r="M10" s="474"/>
      <c r="N10" s="475">
        <f>N17</f>
        <v>0.31378063887946117</v>
      </c>
      <c r="O10" s="474"/>
      <c r="P10" s="476">
        <f>P17</f>
        <v>1.1044745770336165E-2</v>
      </c>
      <c r="Q10" s="474"/>
      <c r="R10" s="475">
        <f>0.5*R24+0.3*R31+0.2*R38</f>
        <v>0.1598973981018334</v>
      </c>
      <c r="S10" s="474"/>
      <c r="T10" s="475">
        <f>0.65*T24+0.35*T31</f>
        <v>6.2574868059142641E-2</v>
      </c>
      <c r="U10" s="477">
        <f t="array" ref="U10">SUM($C$3:$T$3*C10:T10)</f>
        <v>0.11385331856360235</v>
      </c>
      <c r="V10" s="478">
        <f>U10*$V$3</f>
        <v>6.3512735808606682E-2</v>
      </c>
    </row>
    <row r="11" spans="1:22" ht="15.75" thickBot="1" x14ac:dyDescent="0.3">
      <c r="A11" s="997" t="s">
        <v>143</v>
      </c>
      <c r="B11" s="998"/>
      <c r="C11" s="484"/>
      <c r="D11" s="485">
        <f>SUM(D6:D10)</f>
        <v>1</v>
      </c>
      <c r="E11" s="486"/>
      <c r="F11" s="486"/>
      <c r="G11" s="486"/>
      <c r="H11" s="487">
        <f>SUM(H6:H10)</f>
        <v>0.99999999999999989</v>
      </c>
      <c r="I11" s="484"/>
      <c r="J11" s="485">
        <f>SUM(J6:J10)</f>
        <v>1</v>
      </c>
      <c r="K11" s="484"/>
      <c r="L11" s="487">
        <f>SUM(L6:L10)</f>
        <v>0.99999999999999989</v>
      </c>
      <c r="M11" s="484"/>
      <c r="N11" s="485">
        <f>SUM(N6:N10)</f>
        <v>0.99999999999999989</v>
      </c>
      <c r="O11" s="484"/>
      <c r="P11" s="487">
        <f>SUM(P6:P10)</f>
        <v>1</v>
      </c>
      <c r="Q11" s="484"/>
      <c r="R11" s="485">
        <f>SUM(R6:R10)</f>
        <v>1.0000000000000002</v>
      </c>
      <c r="S11" s="484"/>
      <c r="T11" s="485">
        <f>SUM(T6:T10)</f>
        <v>1</v>
      </c>
      <c r="U11" s="488">
        <f>SUM(U6:U10)</f>
        <v>1.0000000000000002</v>
      </c>
      <c r="V11" s="489">
        <f>SUM(V6:V10)</f>
        <v>0.55784703168863992</v>
      </c>
    </row>
    <row r="12" spans="1:22" ht="15.75" thickBot="1" x14ac:dyDescent="0.3">
      <c r="C12" s="12"/>
      <c r="E12" s="12"/>
      <c r="F12" s="12"/>
      <c r="G12" s="12"/>
      <c r="I12" s="12"/>
      <c r="K12" s="12"/>
      <c r="M12" s="12"/>
      <c r="O12" s="12"/>
      <c r="Q12" s="12"/>
      <c r="S12" s="12"/>
    </row>
    <row r="13" spans="1:22" x14ac:dyDescent="0.25">
      <c r="A13" s="490">
        <v>11000</v>
      </c>
      <c r="B13" s="465" t="s">
        <v>4</v>
      </c>
      <c r="C13" s="466">
        <v>18362.83282709611</v>
      </c>
      <c r="D13" s="470">
        <f>C13/$C$18</f>
        <v>0.2905653114473688</v>
      </c>
      <c r="E13" s="466">
        <v>272886</v>
      </c>
      <c r="F13" s="469">
        <v>529809</v>
      </c>
      <c r="G13" s="469">
        <f>E13+F13</f>
        <v>802695</v>
      </c>
      <c r="H13" s="467">
        <f>G13/$G$18</f>
        <v>0.4006825672795995</v>
      </c>
      <c r="I13" s="466">
        <v>11779.828637790799</v>
      </c>
      <c r="J13" s="467">
        <f>I13/$I$18</f>
        <v>0.34810710117580851</v>
      </c>
      <c r="K13" s="466"/>
      <c r="L13" s="470">
        <v>0.42087168836030059</v>
      </c>
      <c r="M13" s="466">
        <v>15200.82</v>
      </c>
      <c r="N13" s="467">
        <f>M13/$M$18</f>
        <v>0.10376323490101112</v>
      </c>
      <c r="O13" s="466"/>
      <c r="P13" s="467">
        <v>0.6389904265828189</v>
      </c>
      <c r="Q13" s="12"/>
      <c r="S13" s="12"/>
    </row>
    <row r="14" spans="1:22" x14ac:dyDescent="0.25">
      <c r="A14" s="464">
        <v>14000</v>
      </c>
      <c r="B14" s="473" t="s">
        <v>7</v>
      </c>
      <c r="C14" s="474">
        <v>15801.776399019402</v>
      </c>
      <c r="D14" s="476">
        <f>C14/$C$18</f>
        <v>0.25004029193293287</v>
      </c>
      <c r="E14" s="474">
        <v>209522</v>
      </c>
      <c r="F14" s="468">
        <v>264860</v>
      </c>
      <c r="G14" s="468">
        <f>E14+F14</f>
        <v>474382</v>
      </c>
      <c r="H14" s="475">
        <f>G14/$G$18</f>
        <v>0.23679803366313604</v>
      </c>
      <c r="I14" s="474">
        <v>7112.6785912518935</v>
      </c>
      <c r="J14" s="475">
        <f>I14/$I$18</f>
        <v>0.21018760137586151</v>
      </c>
      <c r="K14" s="474"/>
      <c r="L14" s="476">
        <v>0.19024504904427395</v>
      </c>
      <c r="M14" s="474">
        <v>9384.92</v>
      </c>
      <c r="N14" s="475">
        <f>M14/$M$18</f>
        <v>6.4062968871889628E-2</v>
      </c>
      <c r="O14" s="474"/>
      <c r="P14" s="475">
        <v>0.18119091525929201</v>
      </c>
      <c r="Q14" s="12"/>
      <c r="S14" s="12"/>
    </row>
    <row r="15" spans="1:22" x14ac:dyDescent="0.25">
      <c r="A15" s="464">
        <v>15000</v>
      </c>
      <c r="B15" s="473" t="s">
        <v>8</v>
      </c>
      <c r="C15" s="474">
        <v>9875.4858643186762</v>
      </c>
      <c r="D15" s="476">
        <f>C15/$C$18</f>
        <v>0.15626530246605866</v>
      </c>
      <c r="E15" s="474">
        <v>115722</v>
      </c>
      <c r="F15" s="468">
        <v>130264</v>
      </c>
      <c r="G15" s="468">
        <f>E15+F15</f>
        <v>245986</v>
      </c>
      <c r="H15" s="475">
        <f>G15/$G$18</f>
        <v>0.12278923127070626</v>
      </c>
      <c r="I15" s="474">
        <v>5076.9720507635466</v>
      </c>
      <c r="J15" s="475">
        <f>I15/$I$18</f>
        <v>0.15003019803464177</v>
      </c>
      <c r="K15" s="474"/>
      <c r="L15" s="476">
        <v>0.14405888003734002</v>
      </c>
      <c r="M15" s="474">
        <v>17005.95</v>
      </c>
      <c r="N15" s="475">
        <f>M15/$M$18</f>
        <v>0.11608534174898789</v>
      </c>
      <c r="O15" s="474"/>
      <c r="P15" s="475">
        <v>8.5150600575449431E-2</v>
      </c>
      <c r="Q15" s="12"/>
      <c r="S15" s="12"/>
    </row>
    <row r="16" spans="1:22" x14ac:dyDescent="0.25">
      <c r="A16" s="464">
        <v>21000</v>
      </c>
      <c r="B16" s="473" t="s">
        <v>13</v>
      </c>
      <c r="C16" s="474">
        <v>8926.9587354409323</v>
      </c>
      <c r="D16" s="476">
        <f>C16/$C$18</f>
        <v>0.14125623043377653</v>
      </c>
      <c r="E16" s="474">
        <v>81549</v>
      </c>
      <c r="F16" s="468">
        <v>209264</v>
      </c>
      <c r="G16" s="468">
        <f>E16+F16</f>
        <v>290813</v>
      </c>
      <c r="H16" s="475">
        <f>G16/$G$18</f>
        <v>0.14516559769063239</v>
      </c>
      <c r="I16" s="474">
        <v>5050.8493805467187</v>
      </c>
      <c r="J16" s="475">
        <f>I16/$I$18</f>
        <v>0.14925824393549819</v>
      </c>
      <c r="K16" s="474"/>
      <c r="L16" s="476">
        <v>0.15093748864271297</v>
      </c>
      <c r="M16" s="474">
        <v>58936.179999999993</v>
      </c>
      <c r="N16" s="475">
        <f>M16/$M$18</f>
        <v>0.40230781559865014</v>
      </c>
      <c r="O16" s="474"/>
      <c r="P16" s="475">
        <v>8.3623311812103432E-2</v>
      </c>
      <c r="Q16" s="12"/>
      <c r="S16" s="12"/>
    </row>
    <row r="17" spans="1:20" ht="15.75" thickBot="1" x14ac:dyDescent="0.3">
      <c r="A17" s="479">
        <v>26000</v>
      </c>
      <c r="B17" s="480" t="s">
        <v>18</v>
      </c>
      <c r="C17" s="474">
        <v>10229.866465906645</v>
      </c>
      <c r="D17" s="476">
        <f>C17/$C$18</f>
        <v>0.16187286371986317</v>
      </c>
      <c r="E17" s="481">
        <v>83704</v>
      </c>
      <c r="F17" s="468">
        <v>105739</v>
      </c>
      <c r="G17" s="482">
        <f>E17+F17</f>
        <v>189443</v>
      </c>
      <c r="H17" s="483">
        <f>G17/$G$18</f>
        <v>9.456457009592581E-2</v>
      </c>
      <c r="I17" s="474">
        <v>4819.3390683484367</v>
      </c>
      <c r="J17" s="475">
        <f>I17/$I$18</f>
        <v>0.14241685547819</v>
      </c>
      <c r="K17" s="474"/>
      <c r="L17" s="476">
        <v>9.3886893915372374E-2</v>
      </c>
      <c r="M17" s="474">
        <v>45967.369999999995</v>
      </c>
      <c r="N17" s="475">
        <f>M17/$M$18</f>
        <v>0.31378063887946117</v>
      </c>
      <c r="O17" s="474"/>
      <c r="P17" s="475">
        <v>1.1044745770336165E-2</v>
      </c>
      <c r="Q17" s="12"/>
      <c r="S17" s="12"/>
    </row>
    <row r="18" spans="1:20" ht="15.75" thickBot="1" x14ac:dyDescent="0.3">
      <c r="A18" s="491">
        <v>2019</v>
      </c>
      <c r="B18" s="492" t="s">
        <v>143</v>
      </c>
      <c r="C18" s="484">
        <f>SUM(C13:C17)</f>
        <v>63196.92029178176</v>
      </c>
      <c r="D18" s="487">
        <f>SUM(D13:D17)</f>
        <v>1</v>
      </c>
      <c r="E18" s="484">
        <f>SUM(E13:E17)</f>
        <v>763383</v>
      </c>
      <c r="F18" s="486">
        <f>SUM(F13:F17)</f>
        <v>1239936</v>
      </c>
      <c r="G18" s="486">
        <f>SUM(G13:G17)</f>
        <v>2003319</v>
      </c>
      <c r="H18" s="485">
        <f t="shared" ref="H18:P18" si="0">SUM(H13:H17)</f>
        <v>1</v>
      </c>
      <c r="I18" s="484">
        <f t="shared" si="0"/>
        <v>33839.667728701395</v>
      </c>
      <c r="J18" s="485">
        <f t="shared" si="0"/>
        <v>1</v>
      </c>
      <c r="K18" s="484">
        <f t="shared" si="0"/>
        <v>0</v>
      </c>
      <c r="L18" s="487">
        <f t="shared" si="0"/>
        <v>0.99999999999999989</v>
      </c>
      <c r="M18" s="484">
        <f t="shared" si="0"/>
        <v>146495.24</v>
      </c>
      <c r="N18" s="485">
        <f t="shared" si="0"/>
        <v>0.99999999999999989</v>
      </c>
      <c r="O18" s="484">
        <f t="shared" si="0"/>
        <v>0</v>
      </c>
      <c r="P18" s="485">
        <f t="shared" si="0"/>
        <v>1</v>
      </c>
      <c r="Q18" s="12"/>
      <c r="S18" s="12"/>
    </row>
    <row r="19" spans="1:20" ht="15.75" thickBot="1" x14ac:dyDescent="0.3">
      <c r="C19" s="12"/>
      <c r="E19" s="12"/>
      <c r="F19" s="12"/>
      <c r="G19" s="12"/>
      <c r="I19" s="12"/>
      <c r="K19" s="12"/>
      <c r="M19" s="12"/>
      <c r="O19" s="12"/>
      <c r="Q19" s="12"/>
      <c r="S19" s="12"/>
    </row>
    <row r="20" spans="1:20" x14ac:dyDescent="0.25">
      <c r="A20" s="490">
        <v>11000</v>
      </c>
      <c r="B20" s="465" t="s">
        <v>4</v>
      </c>
      <c r="E20" s="466">
        <v>273321</v>
      </c>
      <c r="F20" s="469">
        <v>493861</v>
      </c>
      <c r="G20" s="469">
        <f>E20+F20</f>
        <v>767182</v>
      </c>
      <c r="H20" s="467">
        <f>G20/$G$25</f>
        <v>0.38161101126803582</v>
      </c>
      <c r="O20" s="12"/>
      <c r="Q20" s="466">
        <v>1752490.7015499996</v>
      </c>
      <c r="R20" s="467">
        <f>Q20/$Q$25</f>
        <v>0.33755057988901843</v>
      </c>
      <c r="S20" s="466">
        <v>542.39</v>
      </c>
      <c r="T20" s="467">
        <f>S20/$S$25</f>
        <v>0.39390722955965951</v>
      </c>
    </row>
    <row r="21" spans="1:20" x14ac:dyDescent="0.25">
      <c r="A21" s="464">
        <v>14000</v>
      </c>
      <c r="B21" s="473" t="s">
        <v>7</v>
      </c>
      <c r="E21" s="474">
        <v>214090</v>
      </c>
      <c r="F21" s="468">
        <v>321022</v>
      </c>
      <c r="G21" s="468">
        <f>E21+F21</f>
        <v>535112</v>
      </c>
      <c r="H21" s="475">
        <f>G21/$G$25</f>
        <v>0.26617495126535967</v>
      </c>
      <c r="Q21" s="474">
        <v>967508</v>
      </c>
      <c r="R21" s="475">
        <f>Q21/$Q$25</f>
        <v>0.18635356305081474</v>
      </c>
      <c r="S21" s="474">
        <v>329.85037499999999</v>
      </c>
      <c r="T21" s="475">
        <f>S21/$S$25</f>
        <v>0.23955170151637156</v>
      </c>
    </row>
    <row r="22" spans="1:20" x14ac:dyDescent="0.25">
      <c r="A22" s="464">
        <v>15000</v>
      </c>
      <c r="B22" s="473" t="s">
        <v>8</v>
      </c>
      <c r="E22" s="474">
        <v>115727</v>
      </c>
      <c r="F22" s="468">
        <v>108563</v>
      </c>
      <c r="G22" s="468">
        <f>E22+F22</f>
        <v>224290</v>
      </c>
      <c r="H22" s="475">
        <f>G22/$G$25</f>
        <v>0.11156613908734531</v>
      </c>
      <c r="Q22" s="474">
        <v>550667.30000000005</v>
      </c>
      <c r="R22" s="475">
        <f>Q22/$Q$25</f>
        <v>0.10606507998959382</v>
      </c>
      <c r="S22" s="474">
        <v>227.667204</v>
      </c>
      <c r="T22" s="475">
        <f>S22/$S$25</f>
        <v>0.16534183445349993</v>
      </c>
    </row>
    <row r="23" spans="1:20" x14ac:dyDescent="0.25">
      <c r="A23" s="464">
        <v>21000</v>
      </c>
      <c r="B23" s="473" t="s">
        <v>13</v>
      </c>
      <c r="E23" s="474">
        <v>83499</v>
      </c>
      <c r="F23" s="468">
        <v>218645</v>
      </c>
      <c r="G23" s="468">
        <f>E23+F23</f>
        <v>302144</v>
      </c>
      <c r="H23" s="475">
        <f>G23/$G$25</f>
        <v>0.15029220887425593</v>
      </c>
      <c r="Q23" s="474">
        <v>1063190.9659799999</v>
      </c>
      <c r="R23" s="475">
        <f>Q23/$Q$25</f>
        <v>0.20478324180659027</v>
      </c>
      <c r="S23" s="474">
        <v>192.87</v>
      </c>
      <c r="T23" s="475">
        <f>S23/$S$25</f>
        <v>0.14007059010153494</v>
      </c>
    </row>
    <row r="24" spans="1:20" ht="15.75" thickBot="1" x14ac:dyDescent="0.3">
      <c r="A24" s="479">
        <v>26000</v>
      </c>
      <c r="B24" s="480" t="s">
        <v>18</v>
      </c>
      <c r="E24" s="481">
        <v>87031</v>
      </c>
      <c r="F24" s="468">
        <v>94618</v>
      </c>
      <c r="G24" s="482">
        <f>E24+F24</f>
        <v>181649</v>
      </c>
      <c r="H24" s="483">
        <f>G24/$G$25</f>
        <v>9.0355689505003292E-2</v>
      </c>
      <c r="Q24" s="474">
        <v>857930</v>
      </c>
      <c r="R24" s="475">
        <f>Q24/$Q$25</f>
        <v>0.16524753526398284</v>
      </c>
      <c r="S24" s="474">
        <v>84.170999999999992</v>
      </c>
      <c r="T24" s="475">
        <f>S24/$S$25</f>
        <v>6.112864436893397E-2</v>
      </c>
    </row>
    <row r="25" spans="1:20" ht="15.75" thickBot="1" x14ac:dyDescent="0.3">
      <c r="A25" s="491">
        <v>2018</v>
      </c>
      <c r="B25" s="492" t="s">
        <v>143</v>
      </c>
      <c r="E25" s="484">
        <f>SUM(E20:E24)</f>
        <v>773668</v>
      </c>
      <c r="F25" s="486">
        <f>SUM(F20:F24)</f>
        <v>1236709</v>
      </c>
      <c r="G25" s="486">
        <f>SUM(G20:G24)</f>
        <v>2010377</v>
      </c>
      <c r="H25" s="485">
        <f>SUM(H20:H24)</f>
        <v>1</v>
      </c>
      <c r="Q25" s="484">
        <f>SUM(Q20:Q24)</f>
        <v>5191786.9675299991</v>
      </c>
      <c r="R25" s="485">
        <f>SUM(R20:R24)</f>
        <v>1</v>
      </c>
      <c r="S25" s="484">
        <f>SUM(S20:S24)</f>
        <v>1376.9485790000001</v>
      </c>
      <c r="T25" s="485">
        <f>SUM(T20:T24)</f>
        <v>0.99999999999999989</v>
      </c>
    </row>
    <row r="26" spans="1:20" ht="15.75" thickBot="1" x14ac:dyDescent="0.3">
      <c r="E26" s="12"/>
      <c r="F26" s="12"/>
      <c r="G26" s="12"/>
      <c r="Q26" s="12"/>
      <c r="S26" s="12"/>
    </row>
    <row r="27" spans="1:20" x14ac:dyDescent="0.25">
      <c r="A27" s="490">
        <v>11000</v>
      </c>
      <c r="B27" s="465" t="s">
        <v>4</v>
      </c>
      <c r="E27" s="466">
        <v>264082</v>
      </c>
      <c r="F27" s="469">
        <v>460094</v>
      </c>
      <c r="G27" s="469">
        <f>E27+F27</f>
        <v>724176</v>
      </c>
      <c r="H27" s="467">
        <f>G27/$G$32</f>
        <v>0.37720879162091603</v>
      </c>
      <c r="Q27" s="466">
        <v>1710468.9489799996</v>
      </c>
      <c r="R27" s="467">
        <f>Q27/$Q$32</f>
        <v>0.33657541404056429</v>
      </c>
      <c r="S27" s="466">
        <v>451.92</v>
      </c>
      <c r="T27" s="467">
        <f>S27/$S$32</f>
        <v>0.43772535126239015</v>
      </c>
    </row>
    <row r="28" spans="1:20" x14ac:dyDescent="0.25">
      <c r="A28" s="464">
        <v>14000</v>
      </c>
      <c r="B28" s="473" t="s">
        <v>7</v>
      </c>
      <c r="E28" s="474">
        <v>217391</v>
      </c>
      <c r="F28" s="468">
        <v>305042</v>
      </c>
      <c r="G28" s="468">
        <f>E28+F28</f>
        <v>522433</v>
      </c>
      <c r="H28" s="475">
        <f>G28/$G$32</f>
        <v>0.27212489868884088</v>
      </c>
      <c r="Q28" s="474">
        <v>1048416</v>
      </c>
      <c r="R28" s="475">
        <f>Q28/$Q$32</f>
        <v>0.20630076301424771</v>
      </c>
      <c r="S28" s="474">
        <v>179.92240000000001</v>
      </c>
      <c r="T28" s="475">
        <f>S28/$S$32</f>
        <v>0.17427110050445271</v>
      </c>
    </row>
    <row r="29" spans="1:20" x14ac:dyDescent="0.25">
      <c r="A29" s="464">
        <v>15000</v>
      </c>
      <c r="B29" s="473" t="s">
        <v>8</v>
      </c>
      <c r="E29" s="474">
        <v>124757</v>
      </c>
      <c r="F29" s="468">
        <v>87698</v>
      </c>
      <c r="G29" s="468">
        <f>E29+F29</f>
        <v>212455</v>
      </c>
      <c r="H29" s="475">
        <f>G29/$G$32</f>
        <v>0.11066355944386684</v>
      </c>
      <c r="Q29" s="474">
        <v>496756.50000000012</v>
      </c>
      <c r="R29" s="475">
        <f>Q29/$Q$32</f>
        <v>9.774864651272698E-2</v>
      </c>
      <c r="S29" s="474">
        <v>200.248808</v>
      </c>
      <c r="T29" s="475">
        <f>S29/$S$32</f>
        <v>0.19395906315647662</v>
      </c>
    </row>
    <row r="30" spans="1:20" x14ac:dyDescent="0.25">
      <c r="A30" s="464">
        <v>21000</v>
      </c>
      <c r="B30" s="473" t="s">
        <v>13</v>
      </c>
      <c r="E30" s="474">
        <v>86023</v>
      </c>
      <c r="F30" s="468">
        <v>185016</v>
      </c>
      <c r="G30" s="468">
        <f>E30+F30</f>
        <v>271039</v>
      </c>
      <c r="H30" s="475">
        <f>G30/$G$32</f>
        <v>0.14117879310021522</v>
      </c>
      <c r="Q30" s="474">
        <v>1057561.8465999998</v>
      </c>
      <c r="R30" s="475">
        <f>Q30/$Q$32</f>
        <v>0.20810042567867787</v>
      </c>
      <c r="S30" s="474">
        <v>132.96</v>
      </c>
      <c r="T30" s="475">
        <f>S30/$S$32</f>
        <v>0.12878377302143609</v>
      </c>
    </row>
    <row r="31" spans="1:20" ht="15.75" thickBot="1" x14ac:dyDescent="0.3">
      <c r="A31" s="479">
        <v>26000</v>
      </c>
      <c r="B31" s="480" t="s">
        <v>18</v>
      </c>
      <c r="E31" s="481">
        <v>84397</v>
      </c>
      <c r="F31" s="468">
        <v>105328</v>
      </c>
      <c r="G31" s="482">
        <f>E31+F31</f>
        <v>189725</v>
      </c>
      <c r="H31" s="483">
        <f>G31/$G$32</f>
        <v>9.8823957146161004E-2</v>
      </c>
      <c r="Q31" s="474">
        <v>768775</v>
      </c>
      <c r="R31" s="475">
        <f>Q31/$Q$32</f>
        <v>0.1512747507537831</v>
      </c>
      <c r="S31" s="474">
        <v>67.37700000000001</v>
      </c>
      <c r="T31" s="475">
        <f>S31/$S$32</f>
        <v>6.5260712055244433E-2</v>
      </c>
    </row>
    <row r="32" spans="1:20" ht="15.75" thickBot="1" x14ac:dyDescent="0.3">
      <c r="A32" s="491">
        <v>2017</v>
      </c>
      <c r="B32" s="492" t="s">
        <v>143</v>
      </c>
      <c r="E32" s="484">
        <f>SUM(E27:E31)</f>
        <v>776650</v>
      </c>
      <c r="F32" s="486">
        <f>SUM(F27:F31)</f>
        <v>1143178</v>
      </c>
      <c r="G32" s="486">
        <f>SUM(G27:G31)</f>
        <v>1919828</v>
      </c>
      <c r="H32" s="485">
        <f>SUM(H27:H31)</f>
        <v>0.99999999999999989</v>
      </c>
      <c r="Q32" s="484">
        <f>SUM(Q27:Q31)</f>
        <v>5081978.2955799997</v>
      </c>
      <c r="R32" s="485">
        <f>SUM(R27:R31)</f>
        <v>1</v>
      </c>
      <c r="S32" s="484">
        <f>SUM(S27:S31)</f>
        <v>1032.428208</v>
      </c>
      <c r="T32" s="485">
        <f>SUM(T27:T31)</f>
        <v>0.99999999999999989</v>
      </c>
    </row>
    <row r="33" spans="1:19" ht="15.75" thickBot="1" x14ac:dyDescent="0.3">
      <c r="E33" s="12"/>
      <c r="F33" s="12"/>
      <c r="G33" s="12"/>
      <c r="Q33" s="12"/>
      <c r="S33" s="12"/>
    </row>
    <row r="34" spans="1:19" x14ac:dyDescent="0.25">
      <c r="A34" s="490">
        <v>11000</v>
      </c>
      <c r="B34" s="465" t="s">
        <v>4</v>
      </c>
      <c r="Q34" s="466">
        <v>1722757.1378200003</v>
      </c>
      <c r="R34" s="467">
        <f>Q34/$Q$39</f>
        <v>0.36507116901657438</v>
      </c>
    </row>
    <row r="35" spans="1:19" x14ac:dyDescent="0.25">
      <c r="A35" s="464">
        <v>14000</v>
      </c>
      <c r="B35" s="473" t="s">
        <v>7</v>
      </c>
      <c r="Q35" s="474">
        <v>916068</v>
      </c>
      <c r="R35" s="475">
        <f>Q35/$Q$39</f>
        <v>0.19412487594268071</v>
      </c>
    </row>
    <row r="36" spans="1:19" x14ac:dyDescent="0.25">
      <c r="A36" s="464">
        <v>15000</v>
      </c>
      <c r="B36" s="473" t="s">
        <v>8</v>
      </c>
      <c r="Q36" s="474">
        <v>488137.69999999995</v>
      </c>
      <c r="R36" s="475">
        <f>Q36/$Q$39</f>
        <v>0.10344174281324693</v>
      </c>
    </row>
    <row r="37" spans="1:19" x14ac:dyDescent="0.25">
      <c r="A37" s="464">
        <v>21000</v>
      </c>
      <c r="B37" s="473" t="s">
        <v>13</v>
      </c>
      <c r="Q37" s="474">
        <v>839532.61123000004</v>
      </c>
      <c r="R37" s="475">
        <f>Q37/$Q$39</f>
        <v>0.17790618600896282</v>
      </c>
    </row>
    <row r="38" spans="1:19" ht="15.75" thickBot="1" x14ac:dyDescent="0.3">
      <c r="A38" s="479">
        <v>26000</v>
      </c>
      <c r="B38" s="480" t="s">
        <v>18</v>
      </c>
      <c r="Q38" s="474">
        <v>752467</v>
      </c>
      <c r="R38" s="475">
        <f>Q38/$Q$39</f>
        <v>0.15945602621853522</v>
      </c>
    </row>
    <row r="39" spans="1:19" ht="15.75" thickBot="1" x14ac:dyDescent="0.3">
      <c r="A39" s="491">
        <v>2016</v>
      </c>
      <c r="B39" s="492" t="s">
        <v>143</v>
      </c>
      <c r="Q39" s="484">
        <f>SUM(Q34:Q38)</f>
        <v>4718962.4490499999</v>
      </c>
      <c r="R39" s="485">
        <f>SUM(R34:R38)</f>
        <v>1</v>
      </c>
    </row>
    <row r="40" spans="1:19" x14ac:dyDescent="0.25">
      <c r="Q40" s="12"/>
    </row>
    <row r="41" spans="1:19" x14ac:dyDescent="0.25">
      <c r="A41" s="41" t="s">
        <v>311</v>
      </c>
    </row>
    <row r="42" spans="1:19" x14ac:dyDescent="0.25">
      <c r="A42" s="41"/>
    </row>
  </sheetData>
  <mergeCells count="14">
    <mergeCell ref="V4:V5"/>
    <mergeCell ref="A11:B11"/>
    <mergeCell ref="K4:L4"/>
    <mergeCell ref="M4:N4"/>
    <mergeCell ref="O4:P4"/>
    <mergeCell ref="Q4:R4"/>
    <mergeCell ref="S4:T4"/>
    <mergeCell ref="U4:U5"/>
    <mergeCell ref="I4:J4"/>
    <mergeCell ref="A3:B3"/>
    <mergeCell ref="A4:A5"/>
    <mergeCell ref="B4:B5"/>
    <mergeCell ref="C4:D4"/>
    <mergeCell ref="E4:H4"/>
  </mergeCells>
  <hyperlinks>
    <hyperlink ref="A41" location="'0 Seznam'!A1" display="Seznam"/>
  </hyperlinks>
  <pageMargins left="0.70866141732283472" right="0.70866141732283472" top="0.78740157480314965" bottom="0.78740157480314965" header="0.31496062992125984" footer="0.31496062992125984"/>
  <pageSetup paperSize="8" scale="66" orientation="landscape" r:id="rId1"/>
  <headerFooter>
    <oddHeader xml:space="preserve">&amp;LČ. j. MSMT-1753/2020-1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61"/>
  <sheetViews>
    <sheetView zoomScale="85" zoomScaleNormal="85" workbookViewId="0"/>
  </sheetViews>
  <sheetFormatPr defaultRowHeight="15" x14ac:dyDescent="0.25"/>
  <cols>
    <col min="1" max="1" width="9.140625" style="43"/>
    <col min="2" max="2" width="53.42578125" style="43" customWidth="1"/>
    <col min="3" max="3" width="12.85546875" style="759" customWidth="1"/>
    <col min="4" max="4" width="31.28515625" style="43" bestFit="1" customWidth="1"/>
    <col min="5" max="14" width="17.7109375" style="43" customWidth="1"/>
    <col min="15" max="16" width="17.85546875" style="43" customWidth="1"/>
    <col min="17" max="16384" width="9.140625" style="43"/>
  </cols>
  <sheetData>
    <row r="1" spans="1:16" ht="27.75" x14ac:dyDescent="0.25">
      <c r="A1" s="341" t="s">
        <v>168</v>
      </c>
    </row>
    <row r="3" spans="1:16" x14ac:dyDescent="0.25">
      <c r="B3" s="865"/>
      <c r="C3" s="865" t="s">
        <v>286</v>
      </c>
      <c r="D3" s="498">
        <v>115000000</v>
      </c>
      <c r="E3" s="14" t="s">
        <v>37</v>
      </c>
    </row>
    <row r="4" spans="1:16" ht="15.75" thickBot="1" x14ac:dyDescent="0.3">
      <c r="B4" s="534"/>
      <c r="C4" s="534"/>
      <c r="D4" s="18"/>
      <c r="E4" s="17"/>
    </row>
    <row r="5" spans="1:16" ht="15.75" thickBot="1" x14ac:dyDescent="0.3">
      <c r="A5" s="1001" t="s">
        <v>132</v>
      </c>
      <c r="B5" s="1002"/>
      <c r="C5" s="1002"/>
      <c r="D5" s="1002"/>
      <c r="E5" s="1003">
        <v>0.4</v>
      </c>
      <c r="F5" s="1004"/>
      <c r="G5" s="1003">
        <v>0.4</v>
      </c>
      <c r="H5" s="1005"/>
      <c r="I5" s="1005"/>
      <c r="J5" s="1004"/>
      <c r="K5" s="1003">
        <v>0.1</v>
      </c>
      <c r="L5" s="1004"/>
      <c r="M5" s="1003">
        <v>0.1</v>
      </c>
      <c r="N5" s="1004"/>
      <c r="O5" s="999">
        <f>SUM(E5:M5)</f>
        <v>1</v>
      </c>
      <c r="P5" s="1000"/>
    </row>
    <row r="6" spans="1:16" ht="39" customHeight="1" x14ac:dyDescent="0.25">
      <c r="A6" s="1020" t="s">
        <v>2</v>
      </c>
      <c r="B6" s="1021" t="s">
        <v>3</v>
      </c>
      <c r="C6" s="1028" t="s">
        <v>2</v>
      </c>
      <c r="D6" s="1022" t="s">
        <v>169</v>
      </c>
      <c r="E6" s="1017" t="s">
        <v>175</v>
      </c>
      <c r="F6" s="1006" t="s">
        <v>170</v>
      </c>
      <c r="G6" s="1017" t="s">
        <v>176</v>
      </c>
      <c r="H6" s="1013" t="s">
        <v>177</v>
      </c>
      <c r="I6" s="1015" t="s">
        <v>171</v>
      </c>
      <c r="J6" s="1006" t="s">
        <v>170</v>
      </c>
      <c r="K6" s="1017" t="s">
        <v>230</v>
      </c>
      <c r="L6" s="1006" t="s">
        <v>170</v>
      </c>
      <c r="M6" s="1019" t="s">
        <v>231</v>
      </c>
      <c r="N6" s="1006" t="s">
        <v>170</v>
      </c>
      <c r="O6" s="1007" t="s">
        <v>170</v>
      </c>
      <c r="P6" s="1009" t="s">
        <v>172</v>
      </c>
    </row>
    <row r="7" spans="1:16" ht="39" customHeight="1" thickBot="1" x14ac:dyDescent="0.3">
      <c r="A7" s="1020"/>
      <c r="B7" s="1021"/>
      <c r="C7" s="1029"/>
      <c r="D7" s="1022"/>
      <c r="E7" s="1018"/>
      <c r="F7" s="1006"/>
      <c r="G7" s="1018"/>
      <c r="H7" s="1014"/>
      <c r="I7" s="1016"/>
      <c r="J7" s="1006"/>
      <c r="K7" s="1018"/>
      <c r="L7" s="1006"/>
      <c r="M7" s="1018"/>
      <c r="N7" s="1006"/>
      <c r="O7" s="1008"/>
      <c r="P7" s="1009"/>
    </row>
    <row r="8" spans="1:16" ht="15" customHeight="1" x14ac:dyDescent="0.25">
      <c r="A8" s="535">
        <v>11000</v>
      </c>
      <c r="B8" s="536" t="s">
        <v>4</v>
      </c>
      <c r="C8" s="536">
        <v>11410</v>
      </c>
      <c r="D8" s="537" t="s">
        <v>173</v>
      </c>
      <c r="E8" s="538">
        <v>101796.70699999999</v>
      </c>
      <c r="F8" s="539">
        <f>E8/$E$17</f>
        <v>0.15510492281635668</v>
      </c>
      <c r="G8" s="540">
        <v>40362.843967581801</v>
      </c>
      <c r="H8" s="541">
        <v>210.17</v>
      </c>
      <c r="I8" s="542">
        <f t="shared" ref="I8:I16" si="0">($G$12-G8)*H8*12</f>
        <v>62211238.945000008</v>
      </c>
      <c r="J8" s="543">
        <f>I8/$I$17</f>
        <v>0.2670077746602279</v>
      </c>
      <c r="K8" s="544"/>
      <c r="L8" s="543">
        <f>0.5*L22+0.3*L36+0.2*L50</f>
        <v>0.17093385635021802</v>
      </c>
      <c r="M8" s="544"/>
      <c r="N8" s="543">
        <f>0.5*N22+0.3*N36+0.2*N50</f>
        <v>0.1571622865936044</v>
      </c>
      <c r="O8" s="545">
        <f t="shared" ref="O8:O16" si="1">$E$5*F8+$G$5*J8+$K$5*L8+$M$5*N8</f>
        <v>0.20165469328501606</v>
      </c>
      <c r="P8" s="546">
        <f>ROUND($D$3*O8,0)</f>
        <v>23190290</v>
      </c>
    </row>
    <row r="9" spans="1:16" ht="15" customHeight="1" x14ac:dyDescent="0.25">
      <c r="A9" s="30">
        <v>12000</v>
      </c>
      <c r="B9" s="276" t="s">
        <v>5</v>
      </c>
      <c r="C9" s="276">
        <v>12410</v>
      </c>
      <c r="D9" s="547" t="s">
        <v>173</v>
      </c>
      <c r="E9" s="548">
        <v>60121.402999999998</v>
      </c>
      <c r="F9" s="549">
        <f t="shared" ref="F9:F16" si="2">E9/$E$17</f>
        <v>9.1605375524829849E-2</v>
      </c>
      <c r="G9" s="550">
        <v>46053.948198943508</v>
      </c>
      <c r="H9" s="551">
        <v>108.788</v>
      </c>
      <c r="I9" s="552">
        <f t="shared" si="0"/>
        <v>24772237.498000015</v>
      </c>
      <c r="J9" s="553">
        <f t="shared" ref="J9:J16" si="3">I9/$I$17</f>
        <v>0.10632130335072262</v>
      </c>
      <c r="K9" s="554"/>
      <c r="L9" s="553">
        <f t="shared" ref="L9:L16" si="4">0.5*L23+0.3*L37+0.2*L51</f>
        <v>7.5296091947629401E-2</v>
      </c>
      <c r="M9" s="554"/>
      <c r="N9" s="553">
        <f t="shared" ref="N9:N16" si="5">0.5*N23+0.3*N37+0.2*N51</f>
        <v>8.6789311777525052E-2</v>
      </c>
      <c r="O9" s="555">
        <f t="shared" si="1"/>
        <v>9.5379211922736434E-2</v>
      </c>
      <c r="P9" s="556">
        <f t="shared" ref="P9:P16" si="6">ROUND($D$3*O9,0)</f>
        <v>10968609</v>
      </c>
    </row>
    <row r="10" spans="1:16" ht="15" customHeight="1" x14ac:dyDescent="0.25">
      <c r="A10" s="30">
        <v>13000</v>
      </c>
      <c r="B10" s="276" t="s">
        <v>6</v>
      </c>
      <c r="C10" s="276">
        <v>13430</v>
      </c>
      <c r="D10" s="547" t="s">
        <v>173</v>
      </c>
      <c r="E10" s="548">
        <v>51820.248</v>
      </c>
      <c r="F10" s="549">
        <f t="shared" si="2"/>
        <v>7.895712742814423E-2</v>
      </c>
      <c r="G10" s="550">
        <v>42630.200003948747</v>
      </c>
      <c r="H10" s="551">
        <v>101.298</v>
      </c>
      <c r="I10" s="552">
        <f t="shared" si="0"/>
        <v>27228507.333000012</v>
      </c>
      <c r="J10" s="553">
        <f t="shared" si="3"/>
        <v>0.11686350044774901</v>
      </c>
      <c r="K10" s="554"/>
      <c r="L10" s="553">
        <f t="shared" si="4"/>
        <v>9.552389002980248E-2</v>
      </c>
      <c r="M10" s="554"/>
      <c r="N10" s="553">
        <f t="shared" si="5"/>
        <v>9.0460576021882899E-2</v>
      </c>
      <c r="O10" s="555">
        <f t="shared" si="1"/>
        <v>9.6926697755525842E-2</v>
      </c>
      <c r="P10" s="556">
        <f t="shared" si="6"/>
        <v>11146570</v>
      </c>
    </row>
    <row r="11" spans="1:16" ht="15" customHeight="1" x14ac:dyDescent="0.25">
      <c r="A11" s="30">
        <v>14000</v>
      </c>
      <c r="B11" s="276" t="s">
        <v>7</v>
      </c>
      <c r="C11" s="276">
        <v>14410</v>
      </c>
      <c r="D11" s="547" t="s">
        <v>173</v>
      </c>
      <c r="E11" s="548">
        <v>120015.283</v>
      </c>
      <c r="F11" s="549">
        <f t="shared" si="2"/>
        <v>0.18286408033315071</v>
      </c>
      <c r="G11" s="550">
        <v>59668.129841203547</v>
      </c>
      <c r="H11" s="551">
        <v>167.61500000000001</v>
      </c>
      <c r="I11" s="552">
        <f t="shared" si="0"/>
        <v>10784506.977500025</v>
      </c>
      <c r="J11" s="553">
        <f t="shared" si="3"/>
        <v>4.6286607656467749E-2</v>
      </c>
      <c r="K11" s="554"/>
      <c r="L11" s="553">
        <f t="shared" si="4"/>
        <v>0.17102400881801511</v>
      </c>
      <c r="M11" s="554"/>
      <c r="N11" s="553">
        <f t="shared" si="5"/>
        <v>0.18435426175266306</v>
      </c>
      <c r="O11" s="555">
        <f t="shared" si="1"/>
        <v>0.12719810225291522</v>
      </c>
      <c r="P11" s="556">
        <f t="shared" si="6"/>
        <v>14627782</v>
      </c>
    </row>
    <row r="12" spans="1:16" ht="15" customHeight="1" x14ac:dyDescent="0.25">
      <c r="A12" s="30">
        <v>15000</v>
      </c>
      <c r="B12" s="276" t="s">
        <v>8</v>
      </c>
      <c r="C12" s="276">
        <v>15410</v>
      </c>
      <c r="D12" s="547" t="s">
        <v>173</v>
      </c>
      <c r="E12" s="548">
        <v>92082.303</v>
      </c>
      <c r="F12" s="549">
        <f t="shared" si="2"/>
        <v>0.14030334497526889</v>
      </c>
      <c r="G12" s="585">
        <v>65029.875000000007</v>
      </c>
      <c r="H12" s="551">
        <v>118</v>
      </c>
      <c r="I12" s="552">
        <f t="shared" si="0"/>
        <v>0</v>
      </c>
      <c r="J12" s="553">
        <f t="shared" si="3"/>
        <v>0</v>
      </c>
      <c r="K12" s="554"/>
      <c r="L12" s="553">
        <f t="shared" si="4"/>
        <v>0.16434085228089645</v>
      </c>
      <c r="M12" s="554"/>
      <c r="N12" s="553">
        <f t="shared" si="5"/>
        <v>0.1588997147875624</v>
      </c>
      <c r="O12" s="555">
        <f t="shared" si="1"/>
        <v>8.844539469695345E-2</v>
      </c>
      <c r="P12" s="556">
        <f t="shared" si="6"/>
        <v>10171220</v>
      </c>
    </row>
    <row r="13" spans="1:16" ht="15" customHeight="1" x14ac:dyDescent="0.25">
      <c r="A13" s="30">
        <v>17000</v>
      </c>
      <c r="B13" s="276" t="s">
        <v>10</v>
      </c>
      <c r="C13" s="276">
        <v>17450</v>
      </c>
      <c r="D13" s="547" t="s">
        <v>173</v>
      </c>
      <c r="E13" s="548">
        <v>56382.576999999997</v>
      </c>
      <c r="F13" s="549">
        <f t="shared" si="2"/>
        <v>8.5908626236527355E-2</v>
      </c>
      <c r="G13" s="584">
        <v>55716.871815547842</v>
      </c>
      <c r="H13" s="551">
        <v>84.328999999999994</v>
      </c>
      <c r="I13" s="552">
        <f t="shared" si="0"/>
        <v>9424274.9464999996</v>
      </c>
      <c r="J13" s="553">
        <f t="shared" si="3"/>
        <v>4.0448554375774021E-2</v>
      </c>
      <c r="K13" s="554"/>
      <c r="L13" s="553">
        <f t="shared" si="4"/>
        <v>8.1975719476913095E-2</v>
      </c>
      <c r="M13" s="554"/>
      <c r="N13" s="553">
        <f t="shared" si="5"/>
        <v>0.10085519784229637</v>
      </c>
      <c r="O13" s="555">
        <f t="shared" si="1"/>
        <v>6.88259639768415E-2</v>
      </c>
      <c r="P13" s="556">
        <f t="shared" si="6"/>
        <v>7914986</v>
      </c>
    </row>
    <row r="14" spans="1:16" ht="15" customHeight="1" x14ac:dyDescent="0.25">
      <c r="A14" s="30">
        <v>18000</v>
      </c>
      <c r="B14" s="276" t="s">
        <v>11</v>
      </c>
      <c r="C14" s="276">
        <v>18440</v>
      </c>
      <c r="D14" s="547" t="s">
        <v>173</v>
      </c>
      <c r="E14" s="548">
        <v>60197.106</v>
      </c>
      <c r="F14" s="549">
        <f t="shared" si="2"/>
        <v>9.1720722163419713E-2</v>
      </c>
      <c r="G14" s="550">
        <v>36329.322431598623</v>
      </c>
      <c r="H14" s="551">
        <v>138.08199999999999</v>
      </c>
      <c r="I14" s="552">
        <f t="shared" si="0"/>
        <v>47556356.397</v>
      </c>
      <c r="J14" s="553">
        <f t="shared" si="3"/>
        <v>0.20410969316553387</v>
      </c>
      <c r="K14" s="554"/>
      <c r="L14" s="553">
        <f t="shared" si="4"/>
        <v>0.10023163098892501</v>
      </c>
      <c r="M14" s="554"/>
      <c r="N14" s="553">
        <f t="shared" si="5"/>
        <v>9.9084387875506608E-2</v>
      </c>
      <c r="O14" s="555">
        <f t="shared" si="1"/>
        <v>0.13826376801802459</v>
      </c>
      <c r="P14" s="556">
        <f t="shared" si="6"/>
        <v>15900333</v>
      </c>
    </row>
    <row r="15" spans="1:16" ht="15" customHeight="1" x14ac:dyDescent="0.25">
      <c r="A15" s="30">
        <v>23000</v>
      </c>
      <c r="B15" s="276" t="s">
        <v>15</v>
      </c>
      <c r="C15" s="276">
        <v>23420</v>
      </c>
      <c r="D15" s="547" t="s">
        <v>173</v>
      </c>
      <c r="E15" s="548">
        <v>39717.83</v>
      </c>
      <c r="F15" s="549">
        <f t="shared" si="2"/>
        <v>6.0516996454346765E-2</v>
      </c>
      <c r="G15" s="550">
        <v>34837.268089704732</v>
      </c>
      <c r="H15" s="551">
        <v>95.007999999999996</v>
      </c>
      <c r="I15" s="552">
        <f t="shared" si="0"/>
        <v>34422470.368000001</v>
      </c>
      <c r="J15" s="553">
        <f t="shared" si="3"/>
        <v>0.14773965873582739</v>
      </c>
      <c r="K15" s="554"/>
      <c r="L15" s="553">
        <f t="shared" si="4"/>
        <v>6.7298534133823112E-2</v>
      </c>
      <c r="M15" s="554"/>
      <c r="N15" s="553">
        <f t="shared" si="5"/>
        <v>6.2739408990173731E-2</v>
      </c>
      <c r="O15" s="555">
        <f t="shared" si="1"/>
        <v>9.6306456388469353E-2</v>
      </c>
      <c r="P15" s="556">
        <f>ROUND($D$3*O15+0.1,0)</f>
        <v>11075243</v>
      </c>
    </row>
    <row r="16" spans="1:16" ht="15.75" thickBot="1" x14ac:dyDescent="0.3">
      <c r="A16" s="30">
        <v>24000</v>
      </c>
      <c r="B16" s="557" t="s">
        <v>16</v>
      </c>
      <c r="C16" s="557">
        <v>24510</v>
      </c>
      <c r="D16" s="547" t="s">
        <v>174</v>
      </c>
      <c r="E16" s="558">
        <v>74175.221999999994</v>
      </c>
      <c r="F16" s="559">
        <f t="shared" si="2"/>
        <v>0.11301880406795596</v>
      </c>
      <c r="G16" s="560">
        <v>53141.117453876439</v>
      </c>
      <c r="H16" s="561">
        <v>116.318</v>
      </c>
      <c r="I16" s="562">
        <f t="shared" si="0"/>
        <v>16594518.003000014</v>
      </c>
      <c r="J16" s="563">
        <f t="shared" si="3"/>
        <v>7.1222907607697408E-2</v>
      </c>
      <c r="K16" s="564"/>
      <c r="L16" s="563">
        <f t="shared" si="4"/>
        <v>7.337541597377735E-2</v>
      </c>
      <c r="M16" s="564"/>
      <c r="N16" s="563">
        <f t="shared" si="5"/>
        <v>5.9654854358785495E-2</v>
      </c>
      <c r="O16" s="565">
        <f t="shared" si="1"/>
        <v>8.699971170351764E-2</v>
      </c>
      <c r="P16" s="566">
        <f t="shared" si="6"/>
        <v>10004967</v>
      </c>
    </row>
    <row r="17" spans="1:16" ht="15.75" thickBot="1" x14ac:dyDescent="0.3">
      <c r="A17" s="1010" t="s">
        <v>30</v>
      </c>
      <c r="B17" s="1011"/>
      <c r="C17" s="1011"/>
      <c r="D17" s="1012"/>
      <c r="E17" s="567">
        <f>SUM(E8:E16)</f>
        <v>656308.67899999989</v>
      </c>
      <c r="F17" s="568">
        <f>SUM(F8:F16)</f>
        <v>1.0000000000000002</v>
      </c>
      <c r="G17" s="569">
        <f>E17/H17/12*1000</f>
        <v>47992.283238329896</v>
      </c>
      <c r="H17" s="570">
        <f t="shared" ref="H17:P17" si="7">SUM(H8:H16)</f>
        <v>1139.6079999999999</v>
      </c>
      <c r="I17" s="571">
        <f t="shared" si="7"/>
        <v>232994110.46800008</v>
      </c>
      <c r="J17" s="572">
        <f t="shared" si="7"/>
        <v>0.99999999999999989</v>
      </c>
      <c r="K17" s="573">
        <f t="shared" si="7"/>
        <v>0</v>
      </c>
      <c r="L17" s="572">
        <f t="shared" si="7"/>
        <v>1</v>
      </c>
      <c r="M17" s="573">
        <f t="shared" si="7"/>
        <v>0</v>
      </c>
      <c r="N17" s="572">
        <f t="shared" si="7"/>
        <v>1</v>
      </c>
      <c r="O17" s="574">
        <f t="shared" si="7"/>
        <v>1.0000000000000002</v>
      </c>
      <c r="P17" s="575">
        <f t="shared" si="7"/>
        <v>115000000</v>
      </c>
    </row>
    <row r="18" spans="1:16" x14ac:dyDescent="0.25">
      <c r="A18" s="576" t="s">
        <v>288</v>
      </c>
      <c r="B18" s="577"/>
      <c r="C18" s="577"/>
      <c r="D18" s="577"/>
      <c r="E18" s="578"/>
      <c r="F18" s="579"/>
      <c r="G18" s="580"/>
      <c r="H18" s="581"/>
      <c r="I18" s="582"/>
      <c r="J18" s="583"/>
      <c r="K18" s="582"/>
      <c r="L18" s="583"/>
      <c r="M18" s="582"/>
      <c r="N18" s="583"/>
      <c r="O18" s="583"/>
      <c r="P18" s="582"/>
    </row>
    <row r="19" spans="1:16" ht="15.75" thickBot="1" x14ac:dyDescent="0.3"/>
    <row r="20" spans="1:16" ht="42" customHeight="1" x14ac:dyDescent="0.25">
      <c r="A20" s="1024" t="s">
        <v>2</v>
      </c>
      <c r="B20" s="1026" t="s">
        <v>3</v>
      </c>
      <c r="C20" s="1028" t="s">
        <v>2</v>
      </c>
      <c r="D20" s="1030" t="s">
        <v>169</v>
      </c>
      <c r="E20" s="782"/>
      <c r="F20" s="782"/>
      <c r="G20" s="782"/>
      <c r="H20" s="782"/>
      <c r="I20" s="782"/>
      <c r="J20" s="782"/>
      <c r="K20" s="1019" t="s">
        <v>222</v>
      </c>
      <c r="L20" s="1023" t="s">
        <v>170</v>
      </c>
      <c r="M20" s="1019" t="s">
        <v>223</v>
      </c>
      <c r="N20" s="1023" t="s">
        <v>170</v>
      </c>
    </row>
    <row r="21" spans="1:16" ht="42" customHeight="1" thickBot="1" x14ac:dyDescent="0.3">
      <c r="A21" s="1025"/>
      <c r="B21" s="1027"/>
      <c r="C21" s="1029"/>
      <c r="D21" s="1031"/>
      <c r="E21" s="782"/>
      <c r="F21" s="782"/>
      <c r="G21" s="782"/>
      <c r="H21" s="782"/>
      <c r="I21" s="782"/>
      <c r="J21" s="782"/>
      <c r="K21" s="1018"/>
      <c r="L21" s="1006"/>
      <c r="M21" s="1018"/>
      <c r="N21" s="1006"/>
    </row>
    <row r="22" spans="1:16" x14ac:dyDescent="0.25">
      <c r="A22" s="31">
        <v>11000</v>
      </c>
      <c r="B22" s="783" t="s">
        <v>4</v>
      </c>
      <c r="C22" s="536">
        <v>11410</v>
      </c>
      <c r="D22" s="784" t="s">
        <v>173</v>
      </c>
      <c r="E22" s="280"/>
      <c r="F22" s="280"/>
      <c r="G22" s="280"/>
      <c r="H22" s="280"/>
      <c r="I22" s="280"/>
      <c r="J22" s="280"/>
      <c r="K22" s="544">
        <v>4567.5</v>
      </c>
      <c r="L22" s="543">
        <f>K22/$K$31</f>
        <v>0.17121490422461297</v>
      </c>
      <c r="M22" s="544">
        <v>942</v>
      </c>
      <c r="N22" s="543">
        <f>M22/$M$31</f>
        <v>0.15912162162162163</v>
      </c>
    </row>
    <row r="23" spans="1:16" x14ac:dyDescent="0.25">
      <c r="A23" s="30">
        <v>12000</v>
      </c>
      <c r="B23" s="276" t="s">
        <v>5</v>
      </c>
      <c r="C23" s="276">
        <v>12410</v>
      </c>
      <c r="D23" s="547" t="s">
        <v>173</v>
      </c>
      <c r="E23" s="280"/>
      <c r="F23" s="280"/>
      <c r="G23" s="280"/>
      <c r="H23" s="280"/>
      <c r="I23" s="280"/>
      <c r="J23" s="280"/>
      <c r="K23" s="554">
        <v>1982.5</v>
      </c>
      <c r="L23" s="553">
        <f t="shared" ref="L23:L30" si="8">K23/$K$31</f>
        <v>7.4314952955729652E-2</v>
      </c>
      <c r="M23" s="554">
        <v>529</v>
      </c>
      <c r="N23" s="553">
        <f t="shared" ref="N23:N30" si="9">M23/$M$31</f>
        <v>8.9358108108108111E-2</v>
      </c>
    </row>
    <row r="24" spans="1:16" ht="15" customHeight="1" x14ac:dyDescent="0.25">
      <c r="A24" s="30">
        <v>13000</v>
      </c>
      <c r="B24" s="276" t="s">
        <v>6</v>
      </c>
      <c r="C24" s="276">
        <v>13430</v>
      </c>
      <c r="D24" s="547" t="s">
        <v>173</v>
      </c>
      <c r="E24" s="280"/>
      <c r="F24" s="280"/>
      <c r="G24" s="280"/>
      <c r="H24" s="280"/>
      <c r="I24" s="280"/>
      <c r="J24" s="280"/>
      <c r="K24" s="554">
        <v>2527</v>
      </c>
      <c r="L24" s="553">
        <f t="shared" si="8"/>
        <v>9.4725793754919962E-2</v>
      </c>
      <c r="M24" s="554">
        <v>531</v>
      </c>
      <c r="N24" s="553">
        <f t="shared" si="9"/>
        <v>8.9695945945945946E-2</v>
      </c>
    </row>
    <row r="25" spans="1:16" x14ac:dyDescent="0.25">
      <c r="A25" s="30">
        <v>14000</v>
      </c>
      <c r="B25" s="276" t="s">
        <v>7</v>
      </c>
      <c r="C25" s="276">
        <v>14410</v>
      </c>
      <c r="D25" s="547" t="s">
        <v>173</v>
      </c>
      <c r="E25" s="280"/>
      <c r="F25" s="280"/>
      <c r="G25" s="280"/>
      <c r="H25" s="280"/>
      <c r="I25" s="280"/>
      <c r="J25" s="280"/>
      <c r="K25" s="554">
        <v>4486.5</v>
      </c>
      <c r="L25" s="553">
        <f t="shared" si="8"/>
        <v>0.16817858079994003</v>
      </c>
      <c r="M25" s="554">
        <v>1076</v>
      </c>
      <c r="N25" s="553">
        <f t="shared" si="9"/>
        <v>0.18175675675675676</v>
      </c>
    </row>
    <row r="26" spans="1:16" x14ac:dyDescent="0.25">
      <c r="A26" s="30">
        <v>15000</v>
      </c>
      <c r="B26" s="276" t="s">
        <v>8</v>
      </c>
      <c r="C26" s="276">
        <v>15410</v>
      </c>
      <c r="D26" s="547" t="s">
        <v>173</v>
      </c>
      <c r="E26" s="280"/>
      <c r="F26" s="280"/>
      <c r="G26" s="280"/>
      <c r="H26" s="280"/>
      <c r="I26" s="280"/>
      <c r="J26" s="280"/>
      <c r="K26" s="554">
        <v>4497</v>
      </c>
      <c r="L26" s="553">
        <f t="shared" si="8"/>
        <v>0.16857217828091614</v>
      </c>
      <c r="M26" s="554">
        <v>970</v>
      </c>
      <c r="N26" s="553">
        <f t="shared" si="9"/>
        <v>0.16385135135135134</v>
      </c>
    </row>
    <row r="27" spans="1:16" x14ac:dyDescent="0.25">
      <c r="A27" s="30">
        <v>17000</v>
      </c>
      <c r="B27" s="276" t="s">
        <v>10</v>
      </c>
      <c r="C27" s="276">
        <v>17450</v>
      </c>
      <c r="D27" s="547" t="s">
        <v>173</v>
      </c>
      <c r="E27" s="280"/>
      <c r="F27" s="280"/>
      <c r="G27" s="280"/>
      <c r="H27" s="280"/>
      <c r="I27" s="280"/>
      <c r="J27" s="280"/>
      <c r="K27" s="554">
        <v>2169</v>
      </c>
      <c r="L27" s="553">
        <f t="shared" si="8"/>
        <v>8.1305993927353146E-2</v>
      </c>
      <c r="M27" s="554">
        <v>572</v>
      </c>
      <c r="N27" s="553">
        <f t="shared" si="9"/>
        <v>9.662162162162162E-2</v>
      </c>
    </row>
    <row r="28" spans="1:16" x14ac:dyDescent="0.25">
      <c r="A28" s="30">
        <v>18000</v>
      </c>
      <c r="B28" s="276" t="s">
        <v>11</v>
      </c>
      <c r="C28" s="276">
        <v>18440</v>
      </c>
      <c r="D28" s="547" t="s">
        <v>173</v>
      </c>
      <c r="E28" s="280"/>
      <c r="F28" s="280"/>
      <c r="G28" s="280"/>
      <c r="H28" s="280"/>
      <c r="I28" s="280"/>
      <c r="J28" s="280"/>
      <c r="K28" s="554">
        <v>2637</v>
      </c>
      <c r="L28" s="553">
        <f t="shared" si="8"/>
        <v>9.8849195936574583E-2</v>
      </c>
      <c r="M28" s="554">
        <v>596</v>
      </c>
      <c r="N28" s="553">
        <f t="shared" si="9"/>
        <v>0.10067567567567567</v>
      </c>
    </row>
    <row r="29" spans="1:16" x14ac:dyDescent="0.25">
      <c r="A29" s="30">
        <v>23000</v>
      </c>
      <c r="B29" s="276" t="s">
        <v>15</v>
      </c>
      <c r="C29" s="276">
        <v>23420</v>
      </c>
      <c r="D29" s="547" t="s">
        <v>173</v>
      </c>
      <c r="E29" s="280"/>
      <c r="F29" s="280"/>
      <c r="G29" s="280"/>
      <c r="H29" s="280"/>
      <c r="I29" s="280"/>
      <c r="J29" s="280"/>
      <c r="K29" s="554">
        <v>1799</v>
      </c>
      <c r="L29" s="553">
        <f t="shared" si="8"/>
        <v>6.7436368407242195E-2</v>
      </c>
      <c r="M29" s="554">
        <v>353</v>
      </c>
      <c r="N29" s="553">
        <f t="shared" si="9"/>
        <v>5.962837837837838E-2</v>
      </c>
    </row>
    <row r="30" spans="1:16" ht="15.75" thickBot="1" x14ac:dyDescent="0.3">
      <c r="A30" s="30">
        <v>24000</v>
      </c>
      <c r="B30" s="557" t="s">
        <v>16</v>
      </c>
      <c r="C30" s="557">
        <v>24510</v>
      </c>
      <c r="D30" s="547" t="s">
        <v>174</v>
      </c>
      <c r="E30" s="280"/>
      <c r="F30" s="280"/>
      <c r="G30" s="280"/>
      <c r="H30" s="280"/>
      <c r="I30" s="280"/>
      <c r="J30" s="280"/>
      <c r="K30" s="564">
        <v>2011.5</v>
      </c>
      <c r="L30" s="563">
        <f t="shared" si="8"/>
        <v>7.5402031712711329E-2</v>
      </c>
      <c r="M30" s="564">
        <v>351</v>
      </c>
      <c r="N30" s="563">
        <f t="shared" si="9"/>
        <v>5.9290540540540539E-2</v>
      </c>
    </row>
    <row r="31" spans="1:16" ht="15.75" thickBot="1" x14ac:dyDescent="0.3">
      <c r="A31" s="1010" t="s">
        <v>30</v>
      </c>
      <c r="B31" s="1011"/>
      <c r="C31" s="1011"/>
      <c r="D31" s="1012"/>
      <c r="E31" s="577"/>
      <c r="F31" s="577"/>
      <c r="G31" s="577"/>
      <c r="H31" s="577"/>
      <c r="I31" s="577"/>
      <c r="J31" s="577"/>
      <c r="K31" s="573">
        <f>SUM(K22:K30)</f>
        <v>26677</v>
      </c>
      <c r="L31" s="572">
        <f>SUM(L22:L30)</f>
        <v>1.0000000000000002</v>
      </c>
      <c r="M31" s="573">
        <f>SUM(M22:M30)</f>
        <v>5920</v>
      </c>
      <c r="N31" s="572">
        <f>SUM(N22:N30)</f>
        <v>1</v>
      </c>
    </row>
    <row r="32" spans="1:16" x14ac:dyDescent="0.25">
      <c r="A32" s="759"/>
      <c r="B32" s="759"/>
      <c r="D32" s="759"/>
      <c r="E32" s="759"/>
      <c r="F32" s="759"/>
      <c r="G32" s="759"/>
      <c r="H32" s="759"/>
      <c r="I32" s="759"/>
      <c r="J32" s="759"/>
      <c r="K32" s="759"/>
      <c r="L32" s="759"/>
      <c r="M32" s="759"/>
      <c r="N32" s="759"/>
    </row>
    <row r="33" spans="1:14" ht="15.75" thickBot="1" x14ac:dyDescent="0.3">
      <c r="A33" s="759" t="s">
        <v>224</v>
      </c>
      <c r="B33" s="759"/>
      <c r="D33" s="759"/>
      <c r="E33" s="759"/>
      <c r="F33" s="759"/>
      <c r="G33" s="759"/>
      <c r="H33" s="759"/>
      <c r="I33" s="759"/>
      <c r="J33" s="759"/>
      <c r="K33" s="759"/>
      <c r="L33" s="759"/>
      <c r="M33" s="759"/>
      <c r="N33" s="759"/>
    </row>
    <row r="34" spans="1:14" ht="42" customHeight="1" x14ac:dyDescent="0.25">
      <c r="A34" s="1024" t="s">
        <v>2</v>
      </c>
      <c r="B34" s="1026" t="s">
        <v>3</v>
      </c>
      <c r="C34" s="1028" t="s">
        <v>2</v>
      </c>
      <c r="D34" s="1030" t="s">
        <v>169</v>
      </c>
      <c r="E34" s="782"/>
      <c r="F34" s="782"/>
      <c r="G34" s="782"/>
      <c r="H34" s="782"/>
      <c r="I34" s="782"/>
      <c r="J34" s="782"/>
      <c r="K34" s="1019" t="s">
        <v>225</v>
      </c>
      <c r="L34" s="1023" t="s">
        <v>170</v>
      </c>
      <c r="M34" s="1019" t="s">
        <v>226</v>
      </c>
      <c r="N34" s="1023" t="s">
        <v>170</v>
      </c>
    </row>
    <row r="35" spans="1:14" ht="42" customHeight="1" thickBot="1" x14ac:dyDescent="0.3">
      <c r="A35" s="1025"/>
      <c r="B35" s="1027"/>
      <c r="C35" s="1029"/>
      <c r="D35" s="1031"/>
      <c r="E35" s="782"/>
      <c r="F35" s="782"/>
      <c r="G35" s="782"/>
      <c r="H35" s="782"/>
      <c r="I35" s="782"/>
      <c r="J35" s="782"/>
      <c r="K35" s="1018"/>
      <c r="L35" s="1006"/>
      <c r="M35" s="1018"/>
      <c r="N35" s="1006"/>
    </row>
    <row r="36" spans="1:14" x14ac:dyDescent="0.25">
      <c r="A36" s="31">
        <v>11000</v>
      </c>
      <c r="B36" s="783" t="s">
        <v>4</v>
      </c>
      <c r="C36" s="536">
        <v>11410</v>
      </c>
      <c r="D36" s="784" t="s">
        <v>173</v>
      </c>
      <c r="E36" s="280"/>
      <c r="F36" s="280"/>
      <c r="G36" s="280"/>
      <c r="H36" s="280"/>
      <c r="I36" s="280"/>
      <c r="J36" s="280"/>
      <c r="K36" s="544">
        <v>4391.5</v>
      </c>
      <c r="L36" s="543">
        <f>K36/$K$45</f>
        <v>0.16957562652044639</v>
      </c>
      <c r="M36" s="544">
        <v>963</v>
      </c>
      <c r="N36" s="543">
        <f>M36/$M$45</f>
        <v>0.15534763671559929</v>
      </c>
    </row>
    <row r="37" spans="1:14" x14ac:dyDescent="0.25">
      <c r="A37" s="30">
        <v>12000</v>
      </c>
      <c r="B37" s="276" t="s">
        <v>5</v>
      </c>
      <c r="C37" s="276">
        <v>12410</v>
      </c>
      <c r="D37" s="547" t="s">
        <v>173</v>
      </c>
      <c r="E37" s="280"/>
      <c r="F37" s="280"/>
      <c r="G37" s="280"/>
      <c r="H37" s="280"/>
      <c r="I37" s="280"/>
      <c r="J37" s="280"/>
      <c r="K37" s="554">
        <v>1967.5</v>
      </c>
      <c r="L37" s="553">
        <f t="shared" ref="L37:L44" si="10">K37/$K$45</f>
        <v>7.5974051048383978E-2</v>
      </c>
      <c r="M37" s="554">
        <v>496</v>
      </c>
      <c r="N37" s="553">
        <f t="shared" ref="N37:N44" si="11">M37/$M$45</f>
        <v>8.0012905307307633E-2</v>
      </c>
    </row>
    <row r="38" spans="1:14" ht="15" customHeight="1" x14ac:dyDescent="0.25">
      <c r="A38" s="30">
        <v>13000</v>
      </c>
      <c r="B38" s="276" t="s">
        <v>6</v>
      </c>
      <c r="C38" s="276">
        <v>13430</v>
      </c>
      <c r="D38" s="547" t="s">
        <v>173</v>
      </c>
      <c r="E38" s="280"/>
      <c r="F38" s="280"/>
      <c r="G38" s="280"/>
      <c r="H38" s="280"/>
      <c r="I38" s="280"/>
      <c r="J38" s="280"/>
      <c r="K38" s="554">
        <v>2506</v>
      </c>
      <c r="L38" s="553">
        <f t="shared" si="10"/>
        <v>9.6767965401397843E-2</v>
      </c>
      <c r="M38" s="554">
        <v>550</v>
      </c>
      <c r="N38" s="553">
        <f t="shared" si="11"/>
        <v>8.8723987739958057E-2</v>
      </c>
    </row>
    <row r="39" spans="1:14" x14ac:dyDescent="0.25">
      <c r="A39" s="30">
        <v>14000</v>
      </c>
      <c r="B39" s="276" t="s">
        <v>7</v>
      </c>
      <c r="C39" s="276">
        <v>14410</v>
      </c>
      <c r="D39" s="547" t="s">
        <v>173</v>
      </c>
      <c r="E39" s="280"/>
      <c r="F39" s="280"/>
      <c r="G39" s="280"/>
      <c r="H39" s="280"/>
      <c r="I39" s="280"/>
      <c r="J39" s="280"/>
      <c r="K39" s="554">
        <v>4530</v>
      </c>
      <c r="L39" s="553">
        <f t="shared" si="10"/>
        <v>0.17492373634011663</v>
      </c>
      <c r="M39" s="554">
        <v>1171</v>
      </c>
      <c r="N39" s="553">
        <f t="shared" si="11"/>
        <v>0.18890143571543797</v>
      </c>
    </row>
    <row r="40" spans="1:14" x14ac:dyDescent="0.25">
      <c r="A40" s="30">
        <v>15000</v>
      </c>
      <c r="B40" s="276" t="s">
        <v>8</v>
      </c>
      <c r="C40" s="276">
        <v>15410</v>
      </c>
      <c r="D40" s="547" t="s">
        <v>173</v>
      </c>
      <c r="E40" s="280"/>
      <c r="F40" s="280"/>
      <c r="G40" s="280"/>
      <c r="H40" s="280"/>
      <c r="I40" s="280"/>
      <c r="J40" s="280"/>
      <c r="K40" s="554">
        <v>4145.5</v>
      </c>
      <c r="L40" s="553">
        <f t="shared" si="10"/>
        <v>0.16007645673244006</v>
      </c>
      <c r="M40" s="554">
        <v>988</v>
      </c>
      <c r="N40" s="553">
        <f t="shared" si="11"/>
        <v>0.15938054524923376</v>
      </c>
    </row>
    <row r="41" spans="1:14" x14ac:dyDescent="0.25">
      <c r="A41" s="30">
        <v>17000</v>
      </c>
      <c r="B41" s="276" t="s">
        <v>10</v>
      </c>
      <c r="C41" s="276">
        <v>17450</v>
      </c>
      <c r="D41" s="547" t="s">
        <v>173</v>
      </c>
      <c r="E41" s="280"/>
      <c r="F41" s="280"/>
      <c r="G41" s="280"/>
      <c r="H41" s="280"/>
      <c r="I41" s="280"/>
      <c r="J41" s="280"/>
      <c r="K41" s="554">
        <v>2138.5</v>
      </c>
      <c r="L41" s="553">
        <f t="shared" si="10"/>
        <v>8.2577132486388385E-2</v>
      </c>
      <c r="M41" s="554">
        <v>632</v>
      </c>
      <c r="N41" s="553">
        <f t="shared" si="11"/>
        <v>0.10195192773027907</v>
      </c>
    </row>
    <row r="42" spans="1:14" x14ac:dyDescent="0.25">
      <c r="A42" s="30">
        <v>18000</v>
      </c>
      <c r="B42" s="276" t="s">
        <v>11</v>
      </c>
      <c r="C42" s="276">
        <v>18440</v>
      </c>
      <c r="D42" s="547" t="s">
        <v>173</v>
      </c>
      <c r="E42" s="280"/>
      <c r="F42" s="280"/>
      <c r="G42" s="280"/>
      <c r="H42" s="280"/>
      <c r="I42" s="280"/>
      <c r="J42" s="280"/>
      <c r="K42" s="554">
        <v>2653</v>
      </c>
      <c r="L42" s="553">
        <f t="shared" si="10"/>
        <v>0.10244429856740163</v>
      </c>
      <c r="M42" s="554">
        <v>597</v>
      </c>
      <c r="N42" s="553">
        <f t="shared" si="11"/>
        <v>9.6305855783190841E-2</v>
      </c>
    </row>
    <row r="43" spans="1:14" x14ac:dyDescent="0.25">
      <c r="A43" s="30">
        <v>23000</v>
      </c>
      <c r="B43" s="276" t="s">
        <v>15</v>
      </c>
      <c r="C43" s="276">
        <v>23420</v>
      </c>
      <c r="D43" s="547" t="s">
        <v>173</v>
      </c>
      <c r="E43" s="280"/>
      <c r="F43" s="280"/>
      <c r="G43" s="280"/>
      <c r="H43" s="280"/>
      <c r="I43" s="280"/>
      <c r="J43" s="280"/>
      <c r="K43" s="554">
        <v>1734.5</v>
      </c>
      <c r="L43" s="553">
        <f t="shared" si="10"/>
        <v>6.6976869907711317E-2</v>
      </c>
      <c r="M43" s="554">
        <v>425</v>
      </c>
      <c r="N43" s="553">
        <f t="shared" si="11"/>
        <v>6.8559445071785768E-2</v>
      </c>
    </row>
    <row r="44" spans="1:14" ht="15.75" thickBot="1" x14ac:dyDescent="0.3">
      <c r="A44" s="30">
        <v>24000</v>
      </c>
      <c r="B44" s="557" t="s">
        <v>16</v>
      </c>
      <c r="C44" s="557">
        <v>24510</v>
      </c>
      <c r="D44" s="547" t="s">
        <v>174</v>
      </c>
      <c r="E44" s="280"/>
      <c r="F44" s="280"/>
      <c r="G44" s="280"/>
      <c r="H44" s="280"/>
      <c r="I44" s="280"/>
      <c r="J44" s="280"/>
      <c r="K44" s="564">
        <v>1830.5</v>
      </c>
      <c r="L44" s="563">
        <f t="shared" si="10"/>
        <v>7.0683862995713789E-2</v>
      </c>
      <c r="M44" s="564">
        <v>377</v>
      </c>
      <c r="N44" s="563">
        <f t="shared" si="11"/>
        <v>6.0816260687207614E-2</v>
      </c>
    </row>
    <row r="45" spans="1:14" ht="15.75" thickBot="1" x14ac:dyDescent="0.3">
      <c r="A45" s="1010" t="s">
        <v>30</v>
      </c>
      <c r="B45" s="1011"/>
      <c r="C45" s="1011"/>
      <c r="D45" s="1012"/>
      <c r="E45" s="577"/>
      <c r="F45" s="577"/>
      <c r="G45" s="577"/>
      <c r="H45" s="577"/>
      <c r="I45" s="577"/>
      <c r="J45" s="577"/>
      <c r="K45" s="573">
        <f>SUM(K36:K44)</f>
        <v>25897</v>
      </c>
      <c r="L45" s="572">
        <f>SUM(L36:L44)</f>
        <v>1.0000000000000002</v>
      </c>
      <c r="M45" s="573">
        <f>SUM(M36:M44)</f>
        <v>6199</v>
      </c>
      <c r="N45" s="572">
        <f>SUM(N36:N44)</f>
        <v>0.99999999999999989</v>
      </c>
    </row>
    <row r="46" spans="1:14" x14ac:dyDescent="0.25">
      <c r="A46" s="759"/>
      <c r="B46" s="759"/>
      <c r="D46" s="759"/>
      <c r="E46" s="759"/>
      <c r="F46" s="759"/>
      <c r="G46" s="759"/>
      <c r="H46" s="759"/>
      <c r="I46" s="759"/>
      <c r="J46" s="759"/>
      <c r="K46" s="759"/>
      <c r="L46" s="759"/>
      <c r="M46" s="759"/>
      <c r="N46" s="759"/>
    </row>
    <row r="47" spans="1:14" ht="15.75" thickBot="1" x14ac:dyDescent="0.3">
      <c r="A47" s="759" t="s">
        <v>227</v>
      </c>
      <c r="B47" s="759"/>
      <c r="D47" s="759"/>
      <c r="E47" s="759"/>
      <c r="F47" s="759"/>
      <c r="G47" s="759"/>
      <c r="H47" s="759"/>
      <c r="I47" s="759"/>
      <c r="J47" s="759"/>
      <c r="K47" s="759"/>
      <c r="L47" s="759"/>
      <c r="M47" s="759"/>
      <c r="N47" s="759"/>
    </row>
    <row r="48" spans="1:14" ht="42" customHeight="1" x14ac:dyDescent="0.25">
      <c r="A48" s="1024" t="s">
        <v>2</v>
      </c>
      <c r="B48" s="1026" t="s">
        <v>3</v>
      </c>
      <c r="C48" s="1028" t="s">
        <v>2</v>
      </c>
      <c r="D48" s="1030" t="s">
        <v>169</v>
      </c>
      <c r="E48" s="782"/>
      <c r="F48" s="782"/>
      <c r="G48" s="782"/>
      <c r="H48" s="782"/>
      <c r="I48" s="782"/>
      <c r="J48" s="782"/>
      <c r="K48" s="1019" t="s">
        <v>228</v>
      </c>
      <c r="L48" s="1023" t="s">
        <v>170</v>
      </c>
      <c r="M48" s="1019" t="s">
        <v>229</v>
      </c>
      <c r="N48" s="1023" t="s">
        <v>170</v>
      </c>
    </row>
    <row r="49" spans="1:14" ht="42" customHeight="1" thickBot="1" x14ac:dyDescent="0.3">
      <c r="A49" s="1025"/>
      <c r="B49" s="1027"/>
      <c r="C49" s="1029"/>
      <c r="D49" s="1031"/>
      <c r="E49" s="782"/>
      <c r="F49" s="782"/>
      <c r="G49" s="782"/>
      <c r="H49" s="782"/>
      <c r="I49" s="782"/>
      <c r="J49" s="782"/>
      <c r="K49" s="1018"/>
      <c r="L49" s="1006"/>
      <c r="M49" s="1018"/>
      <c r="N49" s="1006"/>
    </row>
    <row r="50" spans="1:14" x14ac:dyDescent="0.25">
      <c r="A50" s="31">
        <v>11000</v>
      </c>
      <c r="B50" s="783" t="s">
        <v>4</v>
      </c>
      <c r="C50" s="536">
        <v>11410</v>
      </c>
      <c r="D50" s="784" t="s">
        <v>173</v>
      </c>
      <c r="E50" s="280"/>
      <c r="F50" s="280"/>
      <c r="G50" s="280"/>
      <c r="H50" s="280"/>
      <c r="I50" s="280"/>
      <c r="J50" s="280"/>
      <c r="K50" s="544">
        <v>4438.5</v>
      </c>
      <c r="L50" s="543">
        <f>K50/$K$59</f>
        <v>0.17226858140888804</v>
      </c>
      <c r="M50" s="544">
        <v>1046</v>
      </c>
      <c r="N50" s="543">
        <f>M50/$M$59</f>
        <v>0.15498592384056897</v>
      </c>
    </row>
    <row r="51" spans="1:14" x14ac:dyDescent="0.25">
      <c r="A51" s="30">
        <v>12000</v>
      </c>
      <c r="B51" s="276" t="s">
        <v>5</v>
      </c>
      <c r="C51" s="276">
        <v>12410</v>
      </c>
      <c r="D51" s="547" t="s">
        <v>173</v>
      </c>
      <c r="E51" s="280"/>
      <c r="F51" s="280"/>
      <c r="G51" s="280"/>
      <c r="H51" s="280"/>
      <c r="I51" s="280"/>
      <c r="J51" s="280"/>
      <c r="K51" s="554">
        <v>1977</v>
      </c>
      <c r="L51" s="553">
        <f t="shared" ref="L51:L58" si="12">K51/$K$59</f>
        <v>7.6732000776246853E-2</v>
      </c>
      <c r="M51" s="554">
        <v>611</v>
      </c>
      <c r="N51" s="553">
        <f t="shared" ref="N51:N58" si="13">M51/$M$59</f>
        <v>9.0531930656393533E-2</v>
      </c>
    </row>
    <row r="52" spans="1:14" ht="15" customHeight="1" x14ac:dyDescent="0.25">
      <c r="A52" s="30">
        <v>13000</v>
      </c>
      <c r="B52" s="276" t="s">
        <v>6</v>
      </c>
      <c r="C52" s="276">
        <v>13430</v>
      </c>
      <c r="D52" s="547" t="s">
        <v>173</v>
      </c>
      <c r="E52" s="280"/>
      <c r="F52" s="280"/>
      <c r="G52" s="280"/>
      <c r="H52" s="280"/>
      <c r="I52" s="280"/>
      <c r="J52" s="280"/>
      <c r="K52" s="554">
        <v>2464.5</v>
      </c>
      <c r="L52" s="553">
        <f t="shared" si="12"/>
        <v>9.5653017659615758E-2</v>
      </c>
      <c r="M52" s="554">
        <v>641</v>
      </c>
      <c r="N52" s="553">
        <f t="shared" si="13"/>
        <v>9.4977033634612532E-2</v>
      </c>
    </row>
    <row r="53" spans="1:14" x14ac:dyDescent="0.25">
      <c r="A53" s="30">
        <v>14000</v>
      </c>
      <c r="B53" s="276" t="s">
        <v>7</v>
      </c>
      <c r="C53" s="276">
        <v>14410</v>
      </c>
      <c r="D53" s="547" t="s">
        <v>173</v>
      </c>
      <c r="E53" s="280"/>
      <c r="F53" s="280"/>
      <c r="G53" s="280"/>
      <c r="H53" s="280"/>
      <c r="I53" s="280"/>
      <c r="J53" s="280"/>
      <c r="K53" s="554">
        <v>4439</v>
      </c>
      <c r="L53" s="553">
        <f t="shared" si="12"/>
        <v>0.17228798758005046</v>
      </c>
      <c r="M53" s="554">
        <v>1242</v>
      </c>
      <c r="N53" s="553">
        <f t="shared" si="13"/>
        <v>0.18402726329826641</v>
      </c>
    </row>
    <row r="54" spans="1:14" x14ac:dyDescent="0.25">
      <c r="A54" s="30">
        <v>15000</v>
      </c>
      <c r="B54" s="276" t="s">
        <v>8</v>
      </c>
      <c r="C54" s="276">
        <v>15410</v>
      </c>
      <c r="D54" s="547" t="s">
        <v>173</v>
      </c>
      <c r="E54" s="280"/>
      <c r="F54" s="280"/>
      <c r="G54" s="280"/>
      <c r="H54" s="280"/>
      <c r="I54" s="280"/>
      <c r="J54" s="280"/>
      <c r="K54" s="554">
        <v>4126.5</v>
      </c>
      <c r="L54" s="553">
        <f t="shared" si="12"/>
        <v>0.16015913060353193</v>
      </c>
      <c r="M54" s="554">
        <v>984</v>
      </c>
      <c r="N54" s="553">
        <f t="shared" si="13"/>
        <v>0.14579937768558304</v>
      </c>
    </row>
    <row r="55" spans="1:14" x14ac:dyDescent="0.25">
      <c r="A55" s="30">
        <v>17000</v>
      </c>
      <c r="B55" s="276" t="s">
        <v>10</v>
      </c>
      <c r="C55" s="276">
        <v>17450</v>
      </c>
      <c r="D55" s="547" t="s">
        <v>173</v>
      </c>
      <c r="E55" s="280"/>
      <c r="F55" s="280"/>
      <c r="G55" s="280"/>
      <c r="H55" s="280"/>
      <c r="I55" s="280"/>
      <c r="J55" s="280"/>
      <c r="K55" s="554">
        <v>2132</v>
      </c>
      <c r="L55" s="553">
        <f t="shared" si="12"/>
        <v>8.2747913836600046E-2</v>
      </c>
      <c r="M55" s="554">
        <v>741</v>
      </c>
      <c r="N55" s="553">
        <f t="shared" si="13"/>
        <v>0.10979404356200918</v>
      </c>
    </row>
    <row r="56" spans="1:14" x14ac:dyDescent="0.25">
      <c r="A56" s="30">
        <v>18000</v>
      </c>
      <c r="B56" s="276" t="s">
        <v>11</v>
      </c>
      <c r="C56" s="276">
        <v>18440</v>
      </c>
      <c r="D56" s="547" t="s">
        <v>173</v>
      </c>
      <c r="E56" s="280"/>
      <c r="F56" s="280"/>
      <c r="G56" s="280"/>
      <c r="H56" s="280"/>
      <c r="I56" s="280"/>
      <c r="J56" s="280"/>
      <c r="K56" s="554">
        <v>2586</v>
      </c>
      <c r="L56" s="553">
        <f t="shared" si="12"/>
        <v>0.10036871725208617</v>
      </c>
      <c r="M56" s="554">
        <v>670</v>
      </c>
      <c r="N56" s="553">
        <f t="shared" si="13"/>
        <v>9.9273966513557563E-2</v>
      </c>
    </row>
    <row r="57" spans="1:14" x14ac:dyDescent="0.25">
      <c r="A57" s="30">
        <v>23000</v>
      </c>
      <c r="B57" s="276" t="s">
        <v>15</v>
      </c>
      <c r="C57" s="276">
        <v>23420</v>
      </c>
      <c r="D57" s="547" t="s">
        <v>173</v>
      </c>
      <c r="E57" s="280"/>
      <c r="F57" s="280"/>
      <c r="G57" s="280"/>
      <c r="H57" s="280"/>
      <c r="I57" s="280"/>
      <c r="J57" s="280"/>
      <c r="K57" s="554">
        <v>1737.5</v>
      </c>
      <c r="L57" s="553">
        <f t="shared" si="12"/>
        <v>6.7436444789443037E-2</v>
      </c>
      <c r="M57" s="554">
        <v>417</v>
      </c>
      <c r="N57" s="553">
        <f t="shared" si="13"/>
        <v>6.178693139724404E-2</v>
      </c>
    </row>
    <row r="58" spans="1:14" ht="15.75" thickBot="1" x14ac:dyDescent="0.3">
      <c r="A58" s="30">
        <v>24000</v>
      </c>
      <c r="B58" s="557" t="s">
        <v>16</v>
      </c>
      <c r="C58" s="557">
        <v>24510</v>
      </c>
      <c r="D58" s="547" t="s">
        <v>174</v>
      </c>
      <c r="E58" s="280"/>
      <c r="F58" s="280"/>
      <c r="G58" s="280"/>
      <c r="H58" s="280"/>
      <c r="I58" s="280"/>
      <c r="J58" s="280"/>
      <c r="K58" s="564">
        <v>1864</v>
      </c>
      <c r="L58" s="563">
        <f t="shared" si="12"/>
        <v>7.2346206093537743E-2</v>
      </c>
      <c r="M58" s="564">
        <v>397</v>
      </c>
      <c r="N58" s="563">
        <f t="shared" si="13"/>
        <v>5.8823529411764705E-2</v>
      </c>
    </row>
    <row r="59" spans="1:14" ht="15.75" thickBot="1" x14ac:dyDescent="0.3">
      <c r="A59" s="1010" t="s">
        <v>30</v>
      </c>
      <c r="B59" s="1011"/>
      <c r="C59" s="1011"/>
      <c r="D59" s="1012"/>
      <c r="E59" s="577"/>
      <c r="F59" s="577"/>
      <c r="G59" s="577"/>
      <c r="H59" s="577"/>
      <c r="I59" s="577"/>
      <c r="J59" s="577"/>
      <c r="K59" s="573">
        <f>SUM(K50:K58)</f>
        <v>25765</v>
      </c>
      <c r="L59" s="572">
        <f>SUM(L50:L58)</f>
        <v>1</v>
      </c>
      <c r="M59" s="573">
        <f>SUM(M50:M58)</f>
        <v>6749</v>
      </c>
      <c r="N59" s="572">
        <f>SUM(N50:N58)</f>
        <v>1</v>
      </c>
    </row>
    <row r="61" spans="1:14" x14ac:dyDescent="0.25">
      <c r="A61" s="41" t="s">
        <v>311</v>
      </c>
      <c r="B61" s="41"/>
    </row>
  </sheetData>
  <mergeCells count="50">
    <mergeCell ref="C6:C7"/>
    <mergeCell ref="K48:K49"/>
    <mergeCell ref="L48:L49"/>
    <mergeCell ref="M48:M49"/>
    <mergeCell ref="N48:N49"/>
    <mergeCell ref="L20:L21"/>
    <mergeCell ref="M20:M21"/>
    <mergeCell ref="N20:N21"/>
    <mergeCell ref="A31:D31"/>
    <mergeCell ref="A34:A35"/>
    <mergeCell ref="B34:B35"/>
    <mergeCell ref="C34:C35"/>
    <mergeCell ref="D34:D35"/>
    <mergeCell ref="K34:K35"/>
    <mergeCell ref="L34:L35"/>
    <mergeCell ref="M34:M35"/>
    <mergeCell ref="A59:D59"/>
    <mergeCell ref="A45:D45"/>
    <mergeCell ref="A48:A49"/>
    <mergeCell ref="B48:B49"/>
    <mergeCell ref="C48:C49"/>
    <mergeCell ref="D48:D49"/>
    <mergeCell ref="N34:N35"/>
    <mergeCell ref="A20:A21"/>
    <mergeCell ref="B20:B21"/>
    <mergeCell ref="C20:C21"/>
    <mergeCell ref="D20:D21"/>
    <mergeCell ref="K20:K21"/>
    <mergeCell ref="N6:N7"/>
    <mergeCell ref="O6:O7"/>
    <mergeCell ref="P6:P7"/>
    <mergeCell ref="A17:D17"/>
    <mergeCell ref="H6:H7"/>
    <mergeCell ref="I6:I7"/>
    <mergeCell ref="J6:J7"/>
    <mergeCell ref="K6:K7"/>
    <mergeCell ref="L6:L7"/>
    <mergeCell ref="M6:M7"/>
    <mergeCell ref="A6:A7"/>
    <mergeCell ref="B6:B7"/>
    <mergeCell ref="D6:D7"/>
    <mergeCell ref="E6:E7"/>
    <mergeCell ref="F6:F7"/>
    <mergeCell ref="G6:G7"/>
    <mergeCell ref="O5:P5"/>
    <mergeCell ref="A5:D5"/>
    <mergeCell ref="E5:F5"/>
    <mergeCell ref="G5:J5"/>
    <mergeCell ref="K5:L5"/>
    <mergeCell ref="M5:N5"/>
  </mergeCells>
  <hyperlinks>
    <hyperlink ref="A61" location="'0 Seznam'!A1" display="Seznam"/>
  </hyperlinks>
  <pageMargins left="0.70866141732283472" right="0.70866141732283472" top="0.78740157480314965" bottom="0.78740157480314965" header="0.31496062992125984" footer="0.31496062992125984"/>
  <pageSetup paperSize="8" scale="66" orientation="landscape" r:id="rId1"/>
  <headerFooter>
    <oddHeader xml:space="preserve">&amp;LČ. j. MSMT-1753/2020-1
</oddHeader>
  </headerFooter>
  <ignoredErrors>
    <ignoredError sqref="P1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91"/>
  <sheetViews>
    <sheetView zoomScale="85" zoomScaleNormal="85" workbookViewId="0">
      <selection activeCell="I2" sqref="I2"/>
    </sheetView>
  </sheetViews>
  <sheetFormatPr defaultRowHeight="15" x14ac:dyDescent="0.25"/>
  <cols>
    <col min="1" max="1" width="2.140625" style="759" customWidth="1"/>
    <col min="2" max="2" width="9.140625" style="759"/>
    <col min="3" max="3" width="51.140625" style="759" customWidth="1"/>
    <col min="4" max="4" width="28" style="759" bestFit="1" customWidth="1"/>
    <col min="5" max="8" width="28" style="759" customWidth="1"/>
    <col min="9" max="9" width="24.5703125" style="759" customWidth="1"/>
    <col min="10" max="16384" width="9.140625" style="759"/>
  </cols>
  <sheetData>
    <row r="1" spans="1:9" ht="27.75" x14ac:dyDescent="0.25">
      <c r="A1" s="341" t="s">
        <v>232</v>
      </c>
    </row>
    <row r="2" spans="1:9" ht="15.75" customHeight="1" x14ac:dyDescent="0.25">
      <c r="A2" s="341"/>
      <c r="B2" s="863" t="s">
        <v>290</v>
      </c>
    </row>
    <row r="3" spans="1:9" ht="15.75" customHeight="1" x14ac:dyDescent="0.25">
      <c r="A3" s="341"/>
    </row>
    <row r="4" spans="1:9" ht="15.75" customHeight="1" x14ac:dyDescent="0.25">
      <c r="A4" s="341"/>
    </row>
    <row r="5" spans="1:9" ht="15.75" customHeight="1" x14ac:dyDescent="0.25">
      <c r="A5" s="341"/>
      <c r="C5" s="865" t="s">
        <v>287</v>
      </c>
      <c r="D5" s="866">
        <v>85000000</v>
      </c>
      <c r="E5" s="867" t="s">
        <v>37</v>
      </c>
    </row>
    <row r="6" spans="1:9" ht="15.75" customHeight="1" thickBot="1" x14ac:dyDescent="0.3">
      <c r="A6" s="341"/>
    </row>
    <row r="7" spans="1:9" ht="15.75" thickBot="1" x14ac:dyDescent="0.3">
      <c r="D7" s="1032">
        <v>0.4</v>
      </c>
      <c r="E7" s="1033"/>
      <c r="F7" s="1032">
        <v>0.6</v>
      </c>
      <c r="G7" s="1034"/>
    </row>
    <row r="8" spans="1:9" x14ac:dyDescent="0.25">
      <c r="B8" s="1035" t="s">
        <v>2</v>
      </c>
      <c r="C8" s="1037" t="s">
        <v>3</v>
      </c>
      <c r="D8" s="1039" t="s">
        <v>233</v>
      </c>
      <c r="E8" s="1040"/>
      <c r="F8" s="1041" t="s">
        <v>234</v>
      </c>
      <c r="G8" s="1042"/>
      <c r="H8" s="1045" t="s">
        <v>30</v>
      </c>
      <c r="I8" s="1046"/>
    </row>
    <row r="9" spans="1:9" ht="34.5" customHeight="1" thickBot="1" x14ac:dyDescent="0.3">
      <c r="B9" s="1036"/>
      <c r="C9" s="1038"/>
      <c r="D9" s="785" t="s">
        <v>235</v>
      </c>
      <c r="E9" s="786" t="s">
        <v>170</v>
      </c>
      <c r="F9" s="787" t="s">
        <v>235</v>
      </c>
      <c r="G9" s="788" t="s">
        <v>170</v>
      </c>
      <c r="H9" s="786" t="s">
        <v>170</v>
      </c>
      <c r="I9" s="788" t="s">
        <v>172</v>
      </c>
    </row>
    <row r="10" spans="1:9" x14ac:dyDescent="0.25">
      <c r="B10" s="789">
        <v>11000</v>
      </c>
      <c r="C10" s="790" t="s">
        <v>4</v>
      </c>
      <c r="D10" s="791"/>
      <c r="E10" s="792">
        <f>0.5*E31+0.3*E52+0.2*E73</f>
        <v>0.17415987105979597</v>
      </c>
      <c r="F10" s="793"/>
      <c r="G10" s="794">
        <f>0.5*G31+0.3*G52+0.2*G73</f>
        <v>0.15286836044708937</v>
      </c>
      <c r="H10" s="795">
        <f>$D$7*E10+$F$7*G10</f>
        <v>0.16138496469217201</v>
      </c>
      <c r="I10" s="796">
        <f>ROUND(H10*$D$5,0)</f>
        <v>13717722</v>
      </c>
    </row>
    <row r="11" spans="1:9" x14ac:dyDescent="0.25">
      <c r="B11" s="797">
        <v>12000</v>
      </c>
      <c r="C11" s="798" t="s">
        <v>5</v>
      </c>
      <c r="D11" s="799"/>
      <c r="E11" s="800">
        <f t="shared" ref="E11:G25" si="0">0.5*E32+0.3*E53+0.2*E74</f>
        <v>7.0243848684815591E-2</v>
      </c>
      <c r="F11" s="716"/>
      <c r="G11" s="718">
        <f t="shared" si="0"/>
        <v>8.2013969093746905E-2</v>
      </c>
      <c r="H11" s="801">
        <f t="shared" ref="H11:H25" si="1">$D$7*E11+$F$7*G11</f>
        <v>7.7305920930174382E-2</v>
      </c>
      <c r="I11" s="684">
        <f t="shared" ref="I11:I25" si="2">ROUND(H11*$D$5,0)</f>
        <v>6571003</v>
      </c>
    </row>
    <row r="12" spans="1:9" x14ac:dyDescent="0.25">
      <c r="B12" s="797">
        <v>13000</v>
      </c>
      <c r="C12" s="798" t="s">
        <v>6</v>
      </c>
      <c r="D12" s="799"/>
      <c r="E12" s="800">
        <f t="shared" si="0"/>
        <v>6.7670997225060134E-2</v>
      </c>
      <c r="F12" s="716"/>
      <c r="G12" s="718">
        <f t="shared" si="0"/>
        <v>6.31921248151225E-2</v>
      </c>
      <c r="H12" s="801">
        <f t="shared" si="1"/>
        <v>6.4983673779097556E-2</v>
      </c>
      <c r="I12" s="684">
        <f t="shared" si="2"/>
        <v>5523612</v>
      </c>
    </row>
    <row r="13" spans="1:9" x14ac:dyDescent="0.25">
      <c r="B13" s="797">
        <v>14000</v>
      </c>
      <c r="C13" s="798" t="s">
        <v>7</v>
      </c>
      <c r="D13" s="799"/>
      <c r="E13" s="800">
        <f t="shared" si="0"/>
        <v>0.18877587279411093</v>
      </c>
      <c r="F13" s="716"/>
      <c r="G13" s="718">
        <f t="shared" si="0"/>
        <v>0.20233909926022273</v>
      </c>
      <c r="H13" s="801">
        <f t="shared" si="1"/>
        <v>0.196913808673778</v>
      </c>
      <c r="I13" s="684">
        <f t="shared" si="2"/>
        <v>16737674</v>
      </c>
    </row>
    <row r="14" spans="1:9" x14ac:dyDescent="0.25">
      <c r="B14" s="797">
        <v>15000</v>
      </c>
      <c r="C14" s="798" t="s">
        <v>8</v>
      </c>
      <c r="D14" s="799"/>
      <c r="E14" s="800">
        <f t="shared" si="0"/>
        <v>0.17298391658871259</v>
      </c>
      <c r="F14" s="716"/>
      <c r="G14" s="718">
        <f t="shared" si="0"/>
        <v>0.15535705527166366</v>
      </c>
      <c r="H14" s="801">
        <f t="shared" si="1"/>
        <v>0.16240779979848324</v>
      </c>
      <c r="I14" s="684">
        <f t="shared" si="2"/>
        <v>13804663</v>
      </c>
    </row>
    <row r="15" spans="1:9" x14ac:dyDescent="0.25">
      <c r="B15" s="797">
        <v>17000</v>
      </c>
      <c r="C15" s="798" t="s">
        <v>10</v>
      </c>
      <c r="D15" s="799"/>
      <c r="E15" s="800">
        <f t="shared" si="0"/>
        <v>6.7748425693586425E-2</v>
      </c>
      <c r="F15" s="716"/>
      <c r="G15" s="718">
        <f t="shared" si="0"/>
        <v>8.2627865832584094E-2</v>
      </c>
      <c r="H15" s="801">
        <f t="shared" si="1"/>
        <v>7.6676089776985035E-2</v>
      </c>
      <c r="I15" s="684">
        <f t="shared" si="2"/>
        <v>6517468</v>
      </c>
    </row>
    <row r="16" spans="1:9" x14ac:dyDescent="0.25">
      <c r="B16" s="797">
        <v>18000</v>
      </c>
      <c r="C16" s="798" t="s">
        <v>11</v>
      </c>
      <c r="D16" s="799"/>
      <c r="E16" s="800">
        <f t="shared" si="0"/>
        <v>8.0628424395982362E-2</v>
      </c>
      <c r="F16" s="716"/>
      <c r="G16" s="718">
        <f t="shared" si="0"/>
        <v>8.0921610783054237E-2</v>
      </c>
      <c r="H16" s="801">
        <f t="shared" si="1"/>
        <v>8.0804336228225498E-2</v>
      </c>
      <c r="I16" s="684">
        <f t="shared" si="2"/>
        <v>6868369</v>
      </c>
    </row>
    <row r="17" spans="2:9" x14ac:dyDescent="0.25">
      <c r="B17" s="797">
        <v>19000</v>
      </c>
      <c r="C17" s="798" t="s">
        <v>12</v>
      </c>
      <c r="D17" s="799"/>
      <c r="E17" s="800">
        <f t="shared" si="0"/>
        <v>1.2258538662512293E-2</v>
      </c>
      <c r="F17" s="716"/>
      <c r="G17" s="718">
        <f t="shared" si="0"/>
        <v>1.0314784979573749E-2</v>
      </c>
      <c r="H17" s="801">
        <f t="shared" si="1"/>
        <v>1.1092286452749168E-2</v>
      </c>
      <c r="I17" s="684">
        <f t="shared" si="2"/>
        <v>942844</v>
      </c>
    </row>
    <row r="18" spans="2:9" x14ac:dyDescent="0.25">
      <c r="B18" s="797">
        <v>21000</v>
      </c>
      <c r="C18" s="798" t="s">
        <v>13</v>
      </c>
      <c r="D18" s="799"/>
      <c r="E18" s="800">
        <f t="shared" si="0"/>
        <v>7.1222482395901926E-3</v>
      </c>
      <c r="F18" s="716"/>
      <c r="G18" s="718">
        <f t="shared" si="0"/>
        <v>6.2947971647201E-3</v>
      </c>
      <c r="H18" s="801">
        <f t="shared" si="1"/>
        <v>6.625777594668137E-3</v>
      </c>
      <c r="I18" s="684">
        <f t="shared" si="2"/>
        <v>563191</v>
      </c>
    </row>
    <row r="19" spans="2:9" x14ac:dyDescent="0.25">
      <c r="B19" s="797">
        <v>22000</v>
      </c>
      <c r="C19" s="798" t="s">
        <v>14</v>
      </c>
      <c r="D19" s="799"/>
      <c r="E19" s="800">
        <f t="shared" si="0"/>
        <v>1.7816308146126518E-3</v>
      </c>
      <c r="F19" s="716"/>
      <c r="G19" s="718">
        <f t="shared" si="0"/>
        <v>2.3982241048463261E-3</v>
      </c>
      <c r="H19" s="801">
        <f t="shared" si="1"/>
        <v>2.1515867887528565E-3</v>
      </c>
      <c r="I19" s="684">
        <f t="shared" si="2"/>
        <v>182885</v>
      </c>
    </row>
    <row r="20" spans="2:9" x14ac:dyDescent="0.25">
      <c r="B20" s="797">
        <v>23000</v>
      </c>
      <c r="C20" s="798" t="s">
        <v>15</v>
      </c>
      <c r="D20" s="799"/>
      <c r="E20" s="800">
        <f t="shared" si="0"/>
        <v>4.6599543412204937E-2</v>
      </c>
      <c r="F20" s="716"/>
      <c r="G20" s="718">
        <f t="shared" si="0"/>
        <v>4.6806211873405855E-2</v>
      </c>
      <c r="H20" s="801">
        <f t="shared" si="1"/>
        <v>4.6723544488925489E-2</v>
      </c>
      <c r="I20" s="684">
        <f t="shared" si="2"/>
        <v>3971501</v>
      </c>
    </row>
    <row r="21" spans="2:9" x14ac:dyDescent="0.25">
      <c r="B21" s="797">
        <v>24000</v>
      </c>
      <c r="C21" s="798" t="s">
        <v>16</v>
      </c>
      <c r="D21" s="799"/>
      <c r="E21" s="800">
        <f t="shared" si="0"/>
        <v>4.6311446486319005E-2</v>
      </c>
      <c r="F21" s="716"/>
      <c r="G21" s="718">
        <f t="shared" si="0"/>
        <v>3.6868992724478078E-2</v>
      </c>
      <c r="H21" s="801">
        <f t="shared" si="1"/>
        <v>4.0645974229214454E-2</v>
      </c>
      <c r="I21" s="684">
        <f t="shared" si="2"/>
        <v>3454908</v>
      </c>
    </row>
    <row r="22" spans="2:9" x14ac:dyDescent="0.25">
      <c r="B22" s="797">
        <v>25000</v>
      </c>
      <c r="C22" s="798" t="s">
        <v>17</v>
      </c>
      <c r="D22" s="799"/>
      <c r="E22" s="800">
        <f t="shared" si="0"/>
        <v>5.8047685825084842E-3</v>
      </c>
      <c r="F22" s="716"/>
      <c r="G22" s="718">
        <f t="shared" si="0"/>
        <v>6.9249577131900589E-3</v>
      </c>
      <c r="H22" s="801">
        <f t="shared" si="1"/>
        <v>6.4768820609174289E-3</v>
      </c>
      <c r="I22" s="684">
        <f t="shared" si="2"/>
        <v>550535</v>
      </c>
    </row>
    <row r="23" spans="2:9" x14ac:dyDescent="0.25">
      <c r="B23" s="797">
        <v>28000</v>
      </c>
      <c r="C23" s="798" t="s">
        <v>20</v>
      </c>
      <c r="D23" s="799"/>
      <c r="E23" s="800">
        <f t="shared" si="0"/>
        <v>3.8978228061990895E-2</v>
      </c>
      <c r="F23" s="716"/>
      <c r="G23" s="718">
        <f t="shared" si="0"/>
        <v>4.8375897782213344E-2</v>
      </c>
      <c r="H23" s="801">
        <f t="shared" si="1"/>
        <v>4.4616829894124369E-2</v>
      </c>
      <c r="I23" s="684">
        <f>ROUND(H23*$D$5-0.1,0)</f>
        <v>3792430</v>
      </c>
    </row>
    <row r="24" spans="2:9" x14ac:dyDescent="0.25">
      <c r="B24" s="797">
        <v>41000</v>
      </c>
      <c r="C24" s="798" t="s">
        <v>22</v>
      </c>
      <c r="D24" s="799"/>
      <c r="E24" s="800">
        <f t="shared" si="0"/>
        <v>1.2376227050646183E-2</v>
      </c>
      <c r="F24" s="716"/>
      <c r="G24" s="718">
        <f t="shared" si="0"/>
        <v>1.5648827533868884E-2</v>
      </c>
      <c r="H24" s="801">
        <f t="shared" si="1"/>
        <v>1.4339787340579804E-2</v>
      </c>
      <c r="I24" s="684">
        <f t="shared" si="2"/>
        <v>1218882</v>
      </c>
    </row>
    <row r="25" spans="2:9" ht="15.75" thickBot="1" x14ac:dyDescent="0.3">
      <c r="B25" s="802">
        <v>43000</v>
      </c>
      <c r="C25" s="803" t="s">
        <v>23</v>
      </c>
      <c r="D25" s="804"/>
      <c r="E25" s="805">
        <f t="shared" si="0"/>
        <v>6.5560122475513405E-3</v>
      </c>
      <c r="F25" s="806"/>
      <c r="G25" s="807">
        <f t="shared" si="0"/>
        <v>7.0472206202201026E-3</v>
      </c>
      <c r="H25" s="808">
        <f t="shared" si="1"/>
        <v>6.8507372711525977E-3</v>
      </c>
      <c r="I25" s="809">
        <f t="shared" si="2"/>
        <v>582313</v>
      </c>
    </row>
    <row r="26" spans="2:9" ht="15.75" thickBot="1" x14ac:dyDescent="0.3">
      <c r="B26" s="1043" t="s">
        <v>143</v>
      </c>
      <c r="C26" s="1044"/>
      <c r="D26" s="810">
        <f t="shared" ref="D26:I26" si="3">SUM(D10:D25)</f>
        <v>0</v>
      </c>
      <c r="E26" s="811">
        <f t="shared" si="3"/>
        <v>1</v>
      </c>
      <c r="F26" s="812">
        <f t="shared" si="3"/>
        <v>0</v>
      </c>
      <c r="G26" s="813">
        <f t="shared" si="3"/>
        <v>0.99999999999999989</v>
      </c>
      <c r="H26" s="811">
        <f t="shared" si="3"/>
        <v>0.99999999999999989</v>
      </c>
      <c r="I26" s="814">
        <f t="shared" si="3"/>
        <v>85000000</v>
      </c>
    </row>
    <row r="27" spans="2:9" x14ac:dyDescent="0.25">
      <c r="B27" s="576" t="s">
        <v>289</v>
      </c>
    </row>
    <row r="28" spans="2:9" ht="15.75" thickBot="1" x14ac:dyDescent="0.3">
      <c r="B28" s="759" t="s">
        <v>236</v>
      </c>
    </row>
    <row r="29" spans="2:9" x14ac:dyDescent="0.25">
      <c r="B29" s="1035" t="s">
        <v>2</v>
      </c>
      <c r="C29" s="1037" t="s">
        <v>3</v>
      </c>
      <c r="D29" s="1047" t="s">
        <v>237</v>
      </c>
      <c r="E29" s="1045"/>
      <c r="F29" s="1048" t="s">
        <v>238</v>
      </c>
      <c r="G29" s="1046"/>
    </row>
    <row r="30" spans="2:9" ht="15.75" thickBot="1" x14ac:dyDescent="0.3">
      <c r="B30" s="1036"/>
      <c r="C30" s="1038"/>
      <c r="D30" s="785" t="s">
        <v>235</v>
      </c>
      <c r="E30" s="786" t="s">
        <v>170</v>
      </c>
      <c r="F30" s="787" t="s">
        <v>235</v>
      </c>
      <c r="G30" s="788" t="s">
        <v>170</v>
      </c>
    </row>
    <row r="31" spans="2:9" x14ac:dyDescent="0.25">
      <c r="B31" s="789">
        <v>1100</v>
      </c>
      <c r="C31" s="790" t="s">
        <v>4</v>
      </c>
      <c r="D31" s="791">
        <v>5215.5</v>
      </c>
      <c r="E31" s="792">
        <f>D31/$D$47</f>
        <v>0.1763452857939849</v>
      </c>
      <c r="F31" s="793">
        <v>1025</v>
      </c>
      <c r="G31" s="794">
        <f>F31/$F$47</f>
        <v>0.15568043742405832</v>
      </c>
    </row>
    <row r="32" spans="2:9" x14ac:dyDescent="0.25">
      <c r="B32" s="797">
        <v>1200</v>
      </c>
      <c r="C32" s="798" t="s">
        <v>5</v>
      </c>
      <c r="D32" s="799">
        <v>1983.5</v>
      </c>
      <c r="E32" s="800">
        <f t="shared" ref="E32:E46" si="4">D32/$D$47</f>
        <v>6.7065645551216385E-2</v>
      </c>
      <c r="F32" s="716">
        <v>549</v>
      </c>
      <c r="G32" s="718">
        <f t="shared" ref="G32:G46" si="5">F32/$F$47</f>
        <v>8.3383961117861477E-2</v>
      </c>
    </row>
    <row r="33" spans="2:7" x14ac:dyDescent="0.25">
      <c r="B33" s="797">
        <v>1300</v>
      </c>
      <c r="C33" s="798" t="s">
        <v>6</v>
      </c>
      <c r="D33" s="799">
        <v>1941</v>
      </c>
      <c r="E33" s="800">
        <f t="shared" si="4"/>
        <v>6.5628645331439875E-2</v>
      </c>
      <c r="F33" s="716">
        <v>404</v>
      </c>
      <c r="G33" s="718">
        <f t="shared" si="5"/>
        <v>6.1360874848116649E-2</v>
      </c>
    </row>
    <row r="34" spans="2:7" x14ac:dyDescent="0.25">
      <c r="B34" s="797">
        <v>1400</v>
      </c>
      <c r="C34" s="798" t="s">
        <v>7</v>
      </c>
      <c r="D34" s="799">
        <v>5459.5</v>
      </c>
      <c r="E34" s="800">
        <f t="shared" si="4"/>
        <v>0.18459535764399587</v>
      </c>
      <c r="F34" s="716">
        <v>1326</v>
      </c>
      <c r="G34" s="718">
        <f t="shared" si="5"/>
        <v>0.20139732685297693</v>
      </c>
    </row>
    <row r="35" spans="2:7" x14ac:dyDescent="0.25">
      <c r="B35" s="797">
        <v>1500</v>
      </c>
      <c r="C35" s="798" t="s">
        <v>8</v>
      </c>
      <c r="D35" s="799">
        <v>5416</v>
      </c>
      <c r="E35" s="800">
        <f t="shared" si="4"/>
        <v>0.18312454565434227</v>
      </c>
      <c r="F35" s="716">
        <v>1058</v>
      </c>
      <c r="G35" s="718">
        <f t="shared" si="5"/>
        <v>0.16069258809234507</v>
      </c>
    </row>
    <row r="36" spans="2:7" x14ac:dyDescent="0.25">
      <c r="B36" s="797">
        <v>1700</v>
      </c>
      <c r="C36" s="798" t="s">
        <v>10</v>
      </c>
      <c r="D36" s="799">
        <v>1992</v>
      </c>
      <c r="E36" s="800">
        <f t="shared" si="4"/>
        <v>6.7353045595171676E-2</v>
      </c>
      <c r="F36" s="716">
        <v>520</v>
      </c>
      <c r="G36" s="718">
        <f t="shared" si="5"/>
        <v>7.8979343863912518E-2</v>
      </c>
    </row>
    <row r="37" spans="2:7" x14ac:dyDescent="0.25">
      <c r="B37" s="797">
        <v>1800</v>
      </c>
      <c r="C37" s="798" t="s">
        <v>11</v>
      </c>
      <c r="D37" s="799">
        <v>2310.5</v>
      </c>
      <c r="E37" s="800">
        <f t="shared" si="4"/>
        <v>7.8122094301026193E-2</v>
      </c>
      <c r="F37" s="716">
        <v>535</v>
      </c>
      <c r="G37" s="718">
        <f t="shared" si="5"/>
        <v>8.125759416767922E-2</v>
      </c>
    </row>
    <row r="38" spans="2:7" x14ac:dyDescent="0.25">
      <c r="B38" s="797">
        <v>1900</v>
      </c>
      <c r="C38" s="798" t="s">
        <v>12</v>
      </c>
      <c r="D38" s="799">
        <v>351</v>
      </c>
      <c r="E38" s="800">
        <f t="shared" si="4"/>
        <v>1.1867931226860071E-2</v>
      </c>
      <c r="F38" s="716">
        <v>62</v>
      </c>
      <c r="G38" s="718">
        <f t="shared" si="5"/>
        <v>9.4167679222357231E-3</v>
      </c>
    </row>
    <row r="39" spans="2:7" x14ac:dyDescent="0.25">
      <c r="B39" s="797">
        <v>2100</v>
      </c>
      <c r="C39" s="798" t="s">
        <v>13</v>
      </c>
      <c r="D39" s="799">
        <v>213.5</v>
      </c>
      <c r="E39" s="800">
        <f t="shared" si="4"/>
        <v>7.2188128687596153E-3</v>
      </c>
      <c r="F39" s="716">
        <v>48</v>
      </c>
      <c r="G39" s="718">
        <f t="shared" si="5"/>
        <v>7.2904009720534627E-3</v>
      </c>
    </row>
    <row r="40" spans="2:7" x14ac:dyDescent="0.25">
      <c r="B40" s="797">
        <v>2200</v>
      </c>
      <c r="C40" s="798" t="s">
        <v>14</v>
      </c>
      <c r="D40" s="799">
        <v>25</v>
      </c>
      <c r="E40" s="800">
        <f t="shared" si="4"/>
        <v>8.4529424692735542E-4</v>
      </c>
      <c r="F40" s="716">
        <v>14</v>
      </c>
      <c r="G40" s="718">
        <f t="shared" si="5"/>
        <v>2.1263669501822599E-3</v>
      </c>
    </row>
    <row r="41" spans="2:7" x14ac:dyDescent="0.25">
      <c r="B41" s="797">
        <v>2300</v>
      </c>
      <c r="C41" s="798" t="s">
        <v>15</v>
      </c>
      <c r="D41" s="799">
        <v>1331</v>
      </c>
      <c r="E41" s="800">
        <f t="shared" si="4"/>
        <v>4.50034657064124E-2</v>
      </c>
      <c r="F41" s="716">
        <v>292</v>
      </c>
      <c r="G41" s="718">
        <f t="shared" si="5"/>
        <v>4.4349939246658567E-2</v>
      </c>
    </row>
    <row r="42" spans="2:7" x14ac:dyDescent="0.25">
      <c r="B42" s="797">
        <v>2400</v>
      </c>
      <c r="C42" s="798" t="s">
        <v>16</v>
      </c>
      <c r="D42" s="799">
        <v>1484</v>
      </c>
      <c r="E42" s="800">
        <f t="shared" si="4"/>
        <v>5.0176666497607818E-2</v>
      </c>
      <c r="F42" s="716">
        <v>249</v>
      </c>
      <c r="G42" s="718">
        <f t="shared" si="5"/>
        <v>3.7818955042527337E-2</v>
      </c>
    </row>
    <row r="43" spans="2:7" x14ac:dyDescent="0.25">
      <c r="B43" s="797">
        <v>2500</v>
      </c>
      <c r="C43" s="798" t="s">
        <v>17</v>
      </c>
      <c r="D43" s="799">
        <v>139</v>
      </c>
      <c r="E43" s="800">
        <f t="shared" si="4"/>
        <v>4.6998360129160959E-3</v>
      </c>
      <c r="F43" s="716">
        <v>42</v>
      </c>
      <c r="G43" s="718">
        <f t="shared" si="5"/>
        <v>6.3791008505467801E-3</v>
      </c>
    </row>
    <row r="44" spans="2:7" x14ac:dyDescent="0.25">
      <c r="B44" s="797">
        <v>2800</v>
      </c>
      <c r="C44" s="798" t="s">
        <v>20</v>
      </c>
      <c r="D44" s="799">
        <v>1155</v>
      </c>
      <c r="E44" s="800">
        <f t="shared" si="4"/>
        <v>3.9052594208043821E-2</v>
      </c>
      <c r="F44" s="716">
        <v>310</v>
      </c>
      <c r="G44" s="718">
        <f t="shared" si="5"/>
        <v>4.7083839611178617E-2</v>
      </c>
    </row>
    <row r="45" spans="2:7" x14ac:dyDescent="0.25">
      <c r="B45" s="797">
        <v>4100</v>
      </c>
      <c r="C45" s="798" t="s">
        <v>22</v>
      </c>
      <c r="D45" s="799">
        <v>356.5</v>
      </c>
      <c r="E45" s="800">
        <f t="shared" si="4"/>
        <v>1.2053895961184087E-2</v>
      </c>
      <c r="F45" s="716">
        <v>109</v>
      </c>
      <c r="G45" s="718">
        <f t="shared" si="5"/>
        <v>1.6555285540704737E-2</v>
      </c>
    </row>
    <row r="46" spans="2:7" ht="15.75" thickBot="1" x14ac:dyDescent="0.3">
      <c r="B46" s="802">
        <v>4300</v>
      </c>
      <c r="C46" s="803" t="s">
        <v>23</v>
      </c>
      <c r="D46" s="804">
        <v>202.5</v>
      </c>
      <c r="E46" s="805">
        <f t="shared" si="4"/>
        <v>6.8468834001115791E-3</v>
      </c>
      <c r="F46" s="806">
        <v>41</v>
      </c>
      <c r="G46" s="807">
        <f t="shared" si="5"/>
        <v>6.2272174969623326E-3</v>
      </c>
    </row>
    <row r="47" spans="2:7" ht="15.75" thickBot="1" x14ac:dyDescent="0.3">
      <c r="B47" s="1043" t="s">
        <v>143</v>
      </c>
      <c r="C47" s="1044"/>
      <c r="D47" s="810">
        <f>SUM(D31:D46)</f>
        <v>29575.5</v>
      </c>
      <c r="E47" s="811">
        <f>SUM(E31:E46)</f>
        <v>1</v>
      </c>
      <c r="F47" s="812">
        <f>SUM(F31:F46)</f>
        <v>6584</v>
      </c>
      <c r="G47" s="813">
        <f>SUM(G31:G46)</f>
        <v>0.99999999999999989</v>
      </c>
    </row>
    <row r="49" spans="2:7" ht="15.75" thickBot="1" x14ac:dyDescent="0.3">
      <c r="B49" s="759" t="s">
        <v>224</v>
      </c>
    </row>
    <row r="50" spans="2:7" x14ac:dyDescent="0.25">
      <c r="B50" s="1035" t="s">
        <v>2</v>
      </c>
      <c r="C50" s="1037" t="s">
        <v>3</v>
      </c>
      <c r="D50" s="1047" t="s">
        <v>239</v>
      </c>
      <c r="E50" s="1045"/>
      <c r="F50" s="1048" t="s">
        <v>240</v>
      </c>
      <c r="G50" s="1046"/>
    </row>
    <row r="51" spans="2:7" ht="15.75" thickBot="1" x14ac:dyDescent="0.3">
      <c r="B51" s="1036"/>
      <c r="C51" s="1038"/>
      <c r="D51" s="785" t="s">
        <v>235</v>
      </c>
      <c r="E51" s="786" t="s">
        <v>170</v>
      </c>
      <c r="F51" s="787" t="s">
        <v>235</v>
      </c>
      <c r="G51" s="788" t="s">
        <v>170</v>
      </c>
    </row>
    <row r="52" spans="2:7" x14ac:dyDescent="0.25">
      <c r="B52" s="789">
        <v>1100</v>
      </c>
      <c r="C52" s="790" t="s">
        <v>4</v>
      </c>
      <c r="D52" s="791">
        <v>4727</v>
      </c>
      <c r="E52" s="792">
        <f>D52/$D$68</f>
        <v>0.17188153373452358</v>
      </c>
      <c r="F52" s="793">
        <v>1050</v>
      </c>
      <c r="G52" s="794">
        <f>F52/$F$68</f>
        <v>0.1518657795776685</v>
      </c>
    </row>
    <row r="53" spans="2:7" x14ac:dyDescent="0.25">
      <c r="B53" s="797">
        <v>1200</v>
      </c>
      <c r="C53" s="798" t="s">
        <v>5</v>
      </c>
      <c r="D53" s="799">
        <v>1998.5</v>
      </c>
      <c r="E53" s="800">
        <f t="shared" ref="E53:E67" si="6">D53/$D$68</f>
        <v>7.2668763521989713E-2</v>
      </c>
      <c r="F53" s="716">
        <v>528</v>
      </c>
      <c r="G53" s="718">
        <f t="shared" ref="G53:G67" si="7">F53/$F$68</f>
        <v>7.6366792016199017E-2</v>
      </c>
    </row>
    <row r="54" spans="2:7" x14ac:dyDescent="0.25">
      <c r="B54" s="797">
        <v>1300</v>
      </c>
      <c r="C54" s="798" t="s">
        <v>6</v>
      </c>
      <c r="D54" s="799">
        <v>1942</v>
      </c>
      <c r="E54" s="800">
        <f t="shared" si="6"/>
        <v>7.0614330127447597E-2</v>
      </c>
      <c r="F54" s="716">
        <v>424</v>
      </c>
      <c r="G54" s="718">
        <f t="shared" si="7"/>
        <v>6.1324848134220421E-2</v>
      </c>
    </row>
    <row r="55" spans="2:7" x14ac:dyDescent="0.25">
      <c r="B55" s="797">
        <v>1400</v>
      </c>
      <c r="C55" s="798" t="s">
        <v>7</v>
      </c>
      <c r="D55" s="799">
        <v>5337</v>
      </c>
      <c r="E55" s="800">
        <f t="shared" si="6"/>
        <v>0.19406214206497827</v>
      </c>
      <c r="F55" s="716">
        <v>1411</v>
      </c>
      <c r="G55" s="718">
        <f t="shared" si="7"/>
        <v>0.20407868093722881</v>
      </c>
    </row>
    <row r="56" spans="2:7" x14ac:dyDescent="0.25">
      <c r="B56" s="797">
        <v>1500</v>
      </c>
      <c r="C56" s="798" t="s">
        <v>8</v>
      </c>
      <c r="D56" s="799">
        <v>4506</v>
      </c>
      <c r="E56" s="800">
        <f t="shared" si="6"/>
        <v>0.16384560842135884</v>
      </c>
      <c r="F56" s="716">
        <v>1080</v>
      </c>
      <c r="G56" s="718">
        <f t="shared" si="7"/>
        <v>0.15620480185131616</v>
      </c>
    </row>
    <row r="57" spans="2:7" x14ac:dyDescent="0.25">
      <c r="B57" s="797">
        <v>1700</v>
      </c>
      <c r="C57" s="798" t="s">
        <v>10</v>
      </c>
      <c r="D57" s="799">
        <v>1855.5</v>
      </c>
      <c r="E57" s="800">
        <f t="shared" si="6"/>
        <v>6.7469047142883112E-2</v>
      </c>
      <c r="F57" s="716">
        <v>585</v>
      </c>
      <c r="G57" s="718">
        <f t="shared" si="7"/>
        <v>8.4610934336129595E-2</v>
      </c>
    </row>
    <row r="58" spans="2:7" x14ac:dyDescent="0.25">
      <c r="B58" s="797">
        <v>1800</v>
      </c>
      <c r="C58" s="798" t="s">
        <v>11</v>
      </c>
      <c r="D58" s="799">
        <v>2312</v>
      </c>
      <c r="E58" s="800">
        <f t="shared" si="6"/>
        <v>8.4068141737723395E-2</v>
      </c>
      <c r="F58" s="716">
        <v>548</v>
      </c>
      <c r="G58" s="718">
        <f t="shared" si="7"/>
        <v>7.9259473531964136E-2</v>
      </c>
    </row>
    <row r="59" spans="2:7" x14ac:dyDescent="0.25">
      <c r="B59" s="797">
        <v>1900</v>
      </c>
      <c r="C59" s="798" t="s">
        <v>12</v>
      </c>
      <c r="D59" s="799">
        <v>326</v>
      </c>
      <c r="E59" s="800">
        <f t="shared" si="6"/>
        <v>1.1853898878243004E-2</v>
      </c>
      <c r="F59" s="716">
        <v>83</v>
      </c>
      <c r="G59" s="718">
        <f t="shared" si="7"/>
        <v>1.2004628290425224E-2</v>
      </c>
    </row>
    <row r="60" spans="2:7" x14ac:dyDescent="0.25">
      <c r="B60" s="797">
        <v>2100</v>
      </c>
      <c r="C60" s="798" t="s">
        <v>13</v>
      </c>
      <c r="D60" s="799">
        <v>191</v>
      </c>
      <c r="E60" s="800">
        <f t="shared" si="6"/>
        <v>6.9450757231423743E-3</v>
      </c>
      <c r="F60" s="716">
        <v>41</v>
      </c>
      <c r="G60" s="718">
        <f t="shared" si="7"/>
        <v>5.9299971073184842E-3</v>
      </c>
    </row>
    <row r="61" spans="2:7" x14ac:dyDescent="0.25">
      <c r="B61" s="797">
        <v>2200</v>
      </c>
      <c r="C61" s="798" t="s">
        <v>14</v>
      </c>
      <c r="D61" s="799">
        <v>68</v>
      </c>
      <c r="E61" s="800">
        <f t="shared" si="6"/>
        <v>2.4725924040506883E-3</v>
      </c>
      <c r="F61" s="716">
        <v>18</v>
      </c>
      <c r="G61" s="718">
        <f t="shared" si="7"/>
        <v>2.6034133641886026E-3</v>
      </c>
    </row>
    <row r="62" spans="2:7" x14ac:dyDescent="0.25">
      <c r="B62" s="797">
        <v>2300</v>
      </c>
      <c r="C62" s="798" t="s">
        <v>15</v>
      </c>
      <c r="D62" s="799">
        <v>1322</v>
      </c>
      <c r="E62" s="800">
        <f t="shared" si="6"/>
        <v>4.8070105266985436E-2</v>
      </c>
      <c r="F62" s="716">
        <v>350</v>
      </c>
      <c r="G62" s="718">
        <f t="shared" si="7"/>
        <v>5.0621926525889496E-2</v>
      </c>
    </row>
    <row r="63" spans="2:7" x14ac:dyDescent="0.25">
      <c r="B63" s="797">
        <v>2400</v>
      </c>
      <c r="C63" s="798" t="s">
        <v>16</v>
      </c>
      <c r="D63" s="799">
        <v>1167</v>
      </c>
      <c r="E63" s="800">
        <f t="shared" si="6"/>
        <v>4.2434049051869899E-2</v>
      </c>
      <c r="F63" s="716">
        <v>254</v>
      </c>
      <c r="G63" s="718">
        <f t="shared" si="7"/>
        <v>3.6737055250216949E-2</v>
      </c>
    </row>
    <row r="64" spans="2:7" x14ac:dyDescent="0.25">
      <c r="B64" s="797">
        <v>2500</v>
      </c>
      <c r="C64" s="798" t="s">
        <v>17</v>
      </c>
      <c r="D64" s="799">
        <v>188</v>
      </c>
      <c r="E64" s="800">
        <f t="shared" si="6"/>
        <v>6.8359907641401376E-3</v>
      </c>
      <c r="F64" s="716">
        <v>49</v>
      </c>
      <c r="G64" s="718">
        <f t="shared" si="7"/>
        <v>7.0870697136245298E-3</v>
      </c>
    </row>
    <row r="65" spans="2:7" x14ac:dyDescent="0.25">
      <c r="B65" s="797">
        <v>2800</v>
      </c>
      <c r="C65" s="798" t="s">
        <v>20</v>
      </c>
      <c r="D65" s="799">
        <v>1045</v>
      </c>
      <c r="E65" s="800">
        <f t="shared" si="6"/>
        <v>3.7997927385778958E-2</v>
      </c>
      <c r="F65" s="716">
        <v>334</v>
      </c>
      <c r="G65" s="718">
        <f t="shared" si="7"/>
        <v>4.8307781313277405E-2</v>
      </c>
    </row>
    <row r="66" spans="2:7" x14ac:dyDescent="0.25">
      <c r="B66" s="797">
        <v>4100</v>
      </c>
      <c r="C66" s="798" t="s">
        <v>22</v>
      </c>
      <c r="D66" s="799">
        <v>341.5</v>
      </c>
      <c r="E66" s="800">
        <f t="shared" si="6"/>
        <v>1.2417504499754558E-2</v>
      </c>
      <c r="F66" s="716">
        <v>103</v>
      </c>
      <c r="G66" s="718">
        <f t="shared" si="7"/>
        <v>1.4897309806190338E-2</v>
      </c>
    </row>
    <row r="67" spans="2:7" ht="15.75" thickBot="1" x14ac:dyDescent="0.3">
      <c r="B67" s="802">
        <v>4300</v>
      </c>
      <c r="C67" s="803" t="s">
        <v>23</v>
      </c>
      <c r="D67" s="804">
        <v>175</v>
      </c>
      <c r="E67" s="805">
        <f t="shared" si="6"/>
        <v>6.3632892751304473E-3</v>
      </c>
      <c r="F67" s="806">
        <v>56</v>
      </c>
      <c r="G67" s="807">
        <f t="shared" si="7"/>
        <v>8.0995082441423193E-3</v>
      </c>
    </row>
    <row r="68" spans="2:7" ht="15.75" thickBot="1" x14ac:dyDescent="0.3">
      <c r="B68" s="1043" t="s">
        <v>143</v>
      </c>
      <c r="C68" s="1044"/>
      <c r="D68" s="810">
        <f>SUM(D52:D67)</f>
        <v>27501.5</v>
      </c>
      <c r="E68" s="811">
        <f>SUM(E52:E67)</f>
        <v>1</v>
      </c>
      <c r="F68" s="812">
        <f>SUM(F52:F67)</f>
        <v>6914</v>
      </c>
      <c r="G68" s="813">
        <f>SUM(G52:G67)</f>
        <v>0.99999999999999978</v>
      </c>
    </row>
    <row r="70" spans="2:7" ht="15.75" thickBot="1" x14ac:dyDescent="0.3">
      <c r="B70" s="759" t="s">
        <v>227</v>
      </c>
    </row>
    <row r="71" spans="2:7" x14ac:dyDescent="0.25">
      <c r="B71" s="1035" t="s">
        <v>2</v>
      </c>
      <c r="C71" s="1037" t="s">
        <v>3</v>
      </c>
      <c r="D71" s="1047" t="s">
        <v>241</v>
      </c>
      <c r="E71" s="1045"/>
      <c r="F71" s="1048" t="s">
        <v>242</v>
      </c>
      <c r="G71" s="1046"/>
    </row>
    <row r="72" spans="2:7" ht="15.75" thickBot="1" x14ac:dyDescent="0.3">
      <c r="B72" s="1036"/>
      <c r="C72" s="1038"/>
      <c r="D72" s="785" t="s">
        <v>235</v>
      </c>
      <c r="E72" s="786" t="s">
        <v>170</v>
      </c>
      <c r="F72" s="787" t="s">
        <v>235</v>
      </c>
      <c r="G72" s="788" t="s">
        <v>170</v>
      </c>
    </row>
    <row r="73" spans="2:7" x14ac:dyDescent="0.25">
      <c r="B73" s="789">
        <v>1100</v>
      </c>
      <c r="C73" s="790" t="s">
        <v>4</v>
      </c>
      <c r="D73" s="791">
        <v>4768.5</v>
      </c>
      <c r="E73" s="792">
        <f>D73/$D$89</f>
        <v>0.17211384021223222</v>
      </c>
      <c r="F73" s="793">
        <v>1117</v>
      </c>
      <c r="G73" s="794">
        <f>F73/$F$89</f>
        <v>0.1473420393087983</v>
      </c>
    </row>
    <row r="74" spans="2:7" x14ac:dyDescent="0.25">
      <c r="B74" s="797">
        <v>1200</v>
      </c>
      <c r="C74" s="798" t="s">
        <v>5</v>
      </c>
      <c r="D74" s="799">
        <v>2065.5</v>
      </c>
      <c r="E74" s="800">
        <f t="shared" ref="E74:E88" si="8">D74/$D$89</f>
        <v>7.4551984263052457E-2</v>
      </c>
      <c r="F74" s="716">
        <v>660</v>
      </c>
      <c r="G74" s="718">
        <f t="shared" ref="G74:G88" si="9">F74/$F$89</f>
        <v>8.7059754649782356E-2</v>
      </c>
    </row>
    <row r="75" spans="2:7" x14ac:dyDescent="0.25">
      <c r="B75" s="797">
        <v>1300</v>
      </c>
      <c r="C75" s="798" t="s">
        <v>6</v>
      </c>
      <c r="D75" s="799">
        <v>1894</v>
      </c>
      <c r="E75" s="800">
        <f t="shared" si="8"/>
        <v>6.8361877605529586E-2</v>
      </c>
      <c r="F75" s="716">
        <v>535</v>
      </c>
      <c r="G75" s="718">
        <f t="shared" si="9"/>
        <v>7.0571164753990237E-2</v>
      </c>
    </row>
    <row r="76" spans="2:7" x14ac:dyDescent="0.25">
      <c r="B76" s="797">
        <v>1400</v>
      </c>
      <c r="C76" s="798" t="s">
        <v>7</v>
      </c>
      <c r="D76" s="799">
        <v>5300</v>
      </c>
      <c r="E76" s="800">
        <f t="shared" si="8"/>
        <v>0.19129775676309757</v>
      </c>
      <c r="F76" s="716">
        <v>1532</v>
      </c>
      <c r="G76" s="718">
        <f t="shared" si="9"/>
        <v>0.20208415776282812</v>
      </c>
    </row>
    <row r="77" spans="2:7" x14ac:dyDescent="0.25">
      <c r="B77" s="797">
        <v>1500</v>
      </c>
      <c r="C77" s="798" t="s">
        <v>8</v>
      </c>
      <c r="D77" s="799">
        <v>4470</v>
      </c>
      <c r="E77" s="800">
        <f t="shared" si="8"/>
        <v>0.16133980617566909</v>
      </c>
      <c r="F77" s="716">
        <v>1067</v>
      </c>
      <c r="G77" s="718">
        <f t="shared" si="9"/>
        <v>0.14074660335048148</v>
      </c>
    </row>
    <row r="78" spans="2:7" x14ac:dyDescent="0.25">
      <c r="B78" s="797">
        <v>1700</v>
      </c>
      <c r="C78" s="798" t="s">
        <v>10</v>
      </c>
      <c r="D78" s="799">
        <v>1916</v>
      </c>
      <c r="E78" s="800">
        <f t="shared" si="8"/>
        <v>6.9155943765678296E-2</v>
      </c>
      <c r="F78" s="716">
        <v>673</v>
      </c>
      <c r="G78" s="718">
        <f t="shared" si="9"/>
        <v>8.8774567998944731E-2</v>
      </c>
    </row>
    <row r="79" spans="2:7" x14ac:dyDescent="0.25">
      <c r="B79" s="797">
        <v>1800</v>
      </c>
      <c r="C79" s="798" t="s">
        <v>11</v>
      </c>
      <c r="D79" s="799">
        <v>2264.5</v>
      </c>
      <c r="E79" s="800">
        <f t="shared" si="8"/>
        <v>8.1734673620761214E-2</v>
      </c>
      <c r="F79" s="716">
        <v>626</v>
      </c>
      <c r="G79" s="718">
        <f t="shared" si="9"/>
        <v>8.2574858198126891E-2</v>
      </c>
    </row>
    <row r="80" spans="2:7" x14ac:dyDescent="0.25">
      <c r="B80" s="797">
        <v>1900</v>
      </c>
      <c r="C80" s="798" t="s">
        <v>12</v>
      </c>
      <c r="D80" s="799">
        <v>383.5</v>
      </c>
      <c r="E80" s="800">
        <f t="shared" si="8"/>
        <v>1.3842016928046777E-2</v>
      </c>
      <c r="F80" s="716">
        <v>76</v>
      </c>
      <c r="G80" s="718">
        <f t="shared" si="9"/>
        <v>1.0025062656641603E-2</v>
      </c>
    </row>
    <row r="81" spans="2:7" x14ac:dyDescent="0.25">
      <c r="B81" s="797">
        <v>2100</v>
      </c>
      <c r="C81" s="798" t="s">
        <v>13</v>
      </c>
      <c r="D81" s="799">
        <v>198</v>
      </c>
      <c r="E81" s="800">
        <f t="shared" si="8"/>
        <v>7.1465954413383621E-3</v>
      </c>
      <c r="F81" s="716">
        <v>33</v>
      </c>
      <c r="G81" s="718">
        <f t="shared" si="9"/>
        <v>4.3529877324891171E-3</v>
      </c>
    </row>
    <row r="82" spans="2:7" x14ac:dyDescent="0.25">
      <c r="B82" s="797">
        <v>2200</v>
      </c>
      <c r="C82" s="798" t="s">
        <v>14</v>
      </c>
      <c r="D82" s="799">
        <v>85.5</v>
      </c>
      <c r="E82" s="800">
        <f t="shared" si="8"/>
        <v>3.0860298496688384E-3</v>
      </c>
      <c r="F82" s="716">
        <v>21</v>
      </c>
      <c r="G82" s="718">
        <f t="shared" si="9"/>
        <v>2.7700831024930748E-3</v>
      </c>
    </row>
    <row r="83" spans="2:7" x14ac:dyDescent="0.25">
      <c r="B83" s="797">
        <v>2300</v>
      </c>
      <c r="C83" s="798" t="s">
        <v>15</v>
      </c>
      <c r="D83" s="799">
        <v>1340.5</v>
      </c>
      <c r="E83" s="800">
        <f t="shared" si="8"/>
        <v>4.8383894894515528E-2</v>
      </c>
      <c r="F83" s="716">
        <v>358</v>
      </c>
      <c r="G83" s="718">
        <f t="shared" si="9"/>
        <v>4.722332146154861E-2</v>
      </c>
    </row>
    <row r="84" spans="2:7" x14ac:dyDescent="0.25">
      <c r="B84" s="797">
        <v>2400</v>
      </c>
      <c r="C84" s="798" t="s">
        <v>16</v>
      </c>
      <c r="D84" s="799">
        <v>1176.5</v>
      </c>
      <c r="E84" s="800">
        <f t="shared" si="8"/>
        <v>4.2464492609770622E-2</v>
      </c>
      <c r="F84" s="716">
        <v>263</v>
      </c>
      <c r="G84" s="718">
        <f t="shared" si="9"/>
        <v>3.4691993140746606E-2</v>
      </c>
    </row>
    <row r="85" spans="2:7" x14ac:dyDescent="0.25">
      <c r="B85" s="797">
        <v>2500</v>
      </c>
      <c r="C85" s="798" t="s">
        <v>17</v>
      </c>
      <c r="D85" s="799">
        <v>194.5</v>
      </c>
      <c r="E85" s="800">
        <f t="shared" si="8"/>
        <v>7.0202667340419772E-3</v>
      </c>
      <c r="F85" s="716">
        <v>61</v>
      </c>
      <c r="G85" s="718">
        <f t="shared" si="9"/>
        <v>8.0464318691465513E-3</v>
      </c>
    </row>
    <row r="86" spans="2:7" x14ac:dyDescent="0.25">
      <c r="B86" s="797">
        <v>2800</v>
      </c>
      <c r="C86" s="798" t="s">
        <v>20</v>
      </c>
      <c r="D86" s="799">
        <v>1115.5</v>
      </c>
      <c r="E86" s="800">
        <f t="shared" si="8"/>
        <v>4.0262763711176479E-2</v>
      </c>
      <c r="F86" s="716">
        <v>392</v>
      </c>
      <c r="G86" s="718">
        <f t="shared" si="9"/>
        <v>5.1708217913204062E-2</v>
      </c>
    </row>
    <row r="87" spans="2:7" x14ac:dyDescent="0.25">
      <c r="B87" s="797">
        <v>4100</v>
      </c>
      <c r="C87" s="798" t="s">
        <v>22</v>
      </c>
      <c r="D87" s="799">
        <v>363.5</v>
      </c>
      <c r="E87" s="800">
        <f t="shared" si="8"/>
        <v>1.3120138600638862E-2</v>
      </c>
      <c r="F87" s="716">
        <v>110</v>
      </c>
      <c r="G87" s="718">
        <f t="shared" si="9"/>
        <v>1.4509959108297058E-2</v>
      </c>
    </row>
    <row r="88" spans="2:7" ht="15.75" thickBot="1" x14ac:dyDescent="0.3">
      <c r="B88" s="802">
        <v>4300</v>
      </c>
      <c r="C88" s="803" t="s">
        <v>23</v>
      </c>
      <c r="D88" s="804">
        <v>169.5</v>
      </c>
      <c r="E88" s="805">
        <f t="shared" si="8"/>
        <v>6.1179188247820829E-3</v>
      </c>
      <c r="F88" s="806">
        <v>57</v>
      </c>
      <c r="G88" s="807">
        <f t="shared" si="9"/>
        <v>7.5187969924812026E-3</v>
      </c>
    </row>
    <row r="89" spans="2:7" ht="15.75" thickBot="1" x14ac:dyDescent="0.3">
      <c r="B89" s="1043" t="s">
        <v>143</v>
      </c>
      <c r="C89" s="1044"/>
      <c r="D89" s="810">
        <f>SUM(D73:D88)</f>
        <v>27705.5</v>
      </c>
      <c r="E89" s="811">
        <f>SUM(E73:E88)</f>
        <v>1</v>
      </c>
      <c r="F89" s="812">
        <f>SUM(F73:F88)</f>
        <v>7581</v>
      </c>
      <c r="G89" s="813">
        <f>SUM(G73:G88)</f>
        <v>1</v>
      </c>
    </row>
    <row r="91" spans="2:7" x14ac:dyDescent="0.25">
      <c r="B91" s="41" t="s">
        <v>311</v>
      </c>
    </row>
  </sheetData>
  <mergeCells count="23">
    <mergeCell ref="B71:B72"/>
    <mergeCell ref="C71:C72"/>
    <mergeCell ref="D71:E71"/>
    <mergeCell ref="F71:G71"/>
    <mergeCell ref="B89:C89"/>
    <mergeCell ref="B68:C68"/>
    <mergeCell ref="H8:I8"/>
    <mergeCell ref="B26:C26"/>
    <mergeCell ref="B29:B30"/>
    <mergeCell ref="C29:C30"/>
    <mergeCell ref="D29:E29"/>
    <mergeCell ref="F29:G29"/>
    <mergeCell ref="B47:C47"/>
    <mergeCell ref="B50:B51"/>
    <mergeCell ref="C50:C51"/>
    <mergeCell ref="D50:E50"/>
    <mergeCell ref="F50:G50"/>
    <mergeCell ref="D7:E7"/>
    <mergeCell ref="F7:G7"/>
    <mergeCell ref="B8:B9"/>
    <mergeCell ref="C8:C9"/>
    <mergeCell ref="D8:E8"/>
    <mergeCell ref="F8:G8"/>
  </mergeCells>
  <hyperlinks>
    <hyperlink ref="B91" location="'0 Seznam'!A1" display="Seznam"/>
  </hyperlinks>
  <pageMargins left="0.70866141732283472" right="0.70866141732283472" top="0.78740157480314965" bottom="0.78740157480314965" header="0.31496062992125984" footer="0.31496062992125984"/>
  <pageSetup paperSize="8" scale="66" orientation="landscape" r:id="rId1"/>
  <headerFooter>
    <oddHeader xml:space="preserve">&amp;LČ. j. MSMT-1753/2020-1
</oddHeader>
  </headerFooter>
  <ignoredErrors>
    <ignoredError sqref="I23"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72"/>
  <sheetViews>
    <sheetView zoomScale="85" zoomScaleNormal="85" workbookViewId="0"/>
  </sheetViews>
  <sheetFormatPr defaultRowHeight="15" x14ac:dyDescent="0.25"/>
  <cols>
    <col min="2" max="2" width="61.140625" customWidth="1"/>
    <col min="3" max="3" width="18" customWidth="1"/>
    <col min="4" max="4" width="22.5703125" customWidth="1"/>
    <col min="5" max="5" width="18" customWidth="1"/>
    <col min="6" max="6" width="24" customWidth="1"/>
    <col min="7" max="7" width="18" customWidth="1"/>
    <col min="8" max="8" width="20.85546875" customWidth="1"/>
    <col min="9" max="12" width="18" customWidth="1"/>
    <col min="13" max="13" width="18" style="759" customWidth="1"/>
    <col min="14" max="14" width="21.5703125" customWidth="1"/>
    <col min="16" max="16" width="12.28515625" bestFit="1" customWidth="1"/>
  </cols>
  <sheetData>
    <row r="1" spans="1:14" ht="27.75" x14ac:dyDescent="0.4">
      <c r="A1" s="13" t="s">
        <v>153</v>
      </c>
      <c r="B1" s="14"/>
      <c r="C1" s="14"/>
      <c r="D1" s="14"/>
      <c r="E1" s="14"/>
      <c r="F1" s="14"/>
      <c r="G1" s="14"/>
      <c r="H1" s="14"/>
      <c r="I1" s="14"/>
    </row>
    <row r="2" spans="1:14" ht="28.5" x14ac:dyDescent="0.45">
      <c r="A2" s="15" t="s">
        <v>35</v>
      </c>
      <c r="B2" s="16"/>
      <c r="C2" s="16"/>
      <c r="D2" s="16"/>
      <c r="E2" s="16"/>
      <c r="F2" s="16"/>
      <c r="G2" s="16"/>
      <c r="H2" s="16"/>
      <c r="I2" s="16"/>
    </row>
    <row r="3" spans="1:14" ht="28.5" x14ac:dyDescent="0.45">
      <c r="A3" s="15"/>
      <c r="B3" s="16"/>
      <c r="C3" s="16"/>
      <c r="D3" s="16"/>
      <c r="E3" s="16"/>
      <c r="F3" s="16"/>
      <c r="G3" s="16"/>
      <c r="H3" s="16"/>
      <c r="I3" s="16"/>
    </row>
    <row r="4" spans="1:14" x14ac:dyDescent="0.25">
      <c r="A4" s="16"/>
      <c r="B4" s="17" t="s">
        <v>36</v>
      </c>
      <c r="C4" s="18">
        <f>'1 Bilance'!O19</f>
        <v>20978859232</v>
      </c>
      <c r="D4" s="17" t="s">
        <v>37</v>
      </c>
      <c r="E4" s="16"/>
      <c r="F4" s="16"/>
      <c r="G4" s="16"/>
      <c r="H4" s="16"/>
      <c r="I4" s="16"/>
    </row>
    <row r="5" spans="1:14" x14ac:dyDescent="0.25">
      <c r="A5" s="16"/>
      <c r="B5" s="17" t="s">
        <v>40</v>
      </c>
      <c r="C5" s="18">
        <f>'1 Bilance'!O16</f>
        <v>16795401074</v>
      </c>
      <c r="D5" s="17" t="s">
        <v>37</v>
      </c>
      <c r="E5" s="17" t="s">
        <v>38</v>
      </c>
      <c r="F5" s="28">
        <f>C5/$C$4</f>
        <v>0.80058695700580407</v>
      </c>
      <c r="G5" s="16"/>
      <c r="H5" s="17" t="s">
        <v>43</v>
      </c>
      <c r="I5" s="29">
        <f>C5/($C$5+$C$6)</f>
        <v>0.82850000001420676</v>
      </c>
      <c r="K5" s="18"/>
    </row>
    <row r="6" spans="1:14" x14ac:dyDescent="0.25">
      <c r="A6" s="16"/>
      <c r="B6" s="17" t="s">
        <v>41</v>
      </c>
      <c r="C6" s="18">
        <f>'1 Bilance'!O17</f>
        <v>3476658158</v>
      </c>
      <c r="D6" s="17" t="s">
        <v>37</v>
      </c>
      <c r="E6" s="17" t="s">
        <v>38</v>
      </c>
      <c r="F6" s="28">
        <f>C6/$C$4</f>
        <v>0.16572198323810175</v>
      </c>
      <c r="G6" s="16"/>
      <c r="H6" s="17" t="s">
        <v>43</v>
      </c>
      <c r="I6" s="29">
        <f>C6/($C$5+$C$6)</f>
        <v>0.17149999998579327</v>
      </c>
      <c r="K6" s="18"/>
    </row>
    <row r="7" spans="1:14" s="1" customFormat="1" x14ac:dyDescent="0.25">
      <c r="A7" s="16"/>
      <c r="B7" s="17" t="s">
        <v>42</v>
      </c>
      <c r="C7" s="18">
        <f>'1 Bilance'!O18</f>
        <v>706800000</v>
      </c>
      <c r="D7" s="17" t="s">
        <v>37</v>
      </c>
      <c r="E7" s="17" t="s">
        <v>38</v>
      </c>
      <c r="F7" s="28">
        <f>C7/$C$4</f>
        <v>3.3691059756094176E-2</v>
      </c>
      <c r="G7" s="16"/>
      <c r="H7" s="19"/>
      <c r="I7" s="16"/>
      <c r="M7" s="759"/>
    </row>
    <row r="8" spans="1:14" s="1" customFormat="1" x14ac:dyDescent="0.25">
      <c r="A8" s="16"/>
      <c r="B8" s="14" t="s">
        <v>48</v>
      </c>
      <c r="C8" s="498">
        <v>500000000</v>
      </c>
      <c r="D8" s="14" t="s">
        <v>37</v>
      </c>
      <c r="E8" s="17"/>
      <c r="F8" s="28"/>
      <c r="G8" s="16"/>
      <c r="H8" s="19"/>
      <c r="I8" s="16"/>
      <c r="M8" s="759"/>
    </row>
    <row r="9" spans="1:14" x14ac:dyDescent="0.25">
      <c r="A9" s="16"/>
      <c r="B9" s="14" t="s">
        <v>49</v>
      </c>
      <c r="C9" s="498">
        <v>115000000</v>
      </c>
      <c r="D9" s="14" t="s">
        <v>37</v>
      </c>
      <c r="E9" s="16"/>
      <c r="F9" s="16"/>
      <c r="G9" s="16"/>
      <c r="H9" s="16"/>
      <c r="I9" s="20"/>
      <c r="J9" s="40"/>
      <c r="K9" s="20"/>
    </row>
    <row r="10" spans="1:14" s="1" customFormat="1" x14ac:dyDescent="0.25">
      <c r="A10" s="16"/>
      <c r="B10" s="14" t="s">
        <v>151</v>
      </c>
      <c r="C10" s="498">
        <v>85000000</v>
      </c>
      <c r="D10" s="14" t="s">
        <v>37</v>
      </c>
      <c r="E10" s="16"/>
      <c r="F10" s="16"/>
      <c r="G10" s="16"/>
      <c r="H10" s="16"/>
      <c r="I10" s="20"/>
      <c r="J10" s="40"/>
      <c r="K10" s="20"/>
      <c r="M10" s="759"/>
    </row>
    <row r="11" spans="1:14" s="43" customFormat="1" x14ac:dyDescent="0.25">
      <c r="A11" s="16"/>
      <c r="B11" s="14" t="s">
        <v>152</v>
      </c>
      <c r="C11" s="498">
        <v>6800000</v>
      </c>
      <c r="D11" s="14" t="s">
        <v>37</v>
      </c>
      <c r="E11" s="16"/>
      <c r="F11" s="16"/>
      <c r="G11" s="16"/>
      <c r="H11" s="16"/>
      <c r="I11" s="20"/>
      <c r="K11" s="20"/>
      <c r="M11" s="759"/>
      <c r="N11" s="42"/>
    </row>
    <row r="12" spans="1:14" s="759" customFormat="1" x14ac:dyDescent="0.25">
      <c r="A12" s="16"/>
      <c r="B12" s="17" t="s">
        <v>279</v>
      </c>
      <c r="C12" s="18">
        <v>37370000</v>
      </c>
      <c r="D12" s="17" t="s">
        <v>37</v>
      </c>
      <c r="E12" s="16"/>
      <c r="F12" s="16"/>
      <c r="G12" s="16"/>
      <c r="H12" s="16"/>
      <c r="I12" s="20"/>
      <c r="K12" s="20"/>
      <c r="N12" s="42"/>
    </row>
    <row r="13" spans="1:14" s="43" customFormat="1" ht="15.75" thickBot="1" x14ac:dyDescent="0.3">
      <c r="A13" s="16"/>
      <c r="B13" s="17"/>
      <c r="C13" s="16"/>
      <c r="D13" s="16"/>
      <c r="E13" s="16"/>
      <c r="F13" s="16"/>
      <c r="G13" s="16"/>
      <c r="H13" s="16"/>
      <c r="I13" s="20"/>
      <c r="K13" s="20"/>
      <c r="M13" s="759"/>
      <c r="N13" s="42" t="s">
        <v>0</v>
      </c>
    </row>
    <row r="14" spans="1:14" ht="15" customHeight="1" x14ac:dyDescent="0.25">
      <c r="A14" s="1079" t="s">
        <v>2</v>
      </c>
      <c r="B14" s="1076" t="s">
        <v>3</v>
      </c>
      <c r="C14" s="1060" t="s">
        <v>44</v>
      </c>
      <c r="D14" s="1061"/>
      <c r="E14" s="1061"/>
      <c r="F14" s="1062"/>
      <c r="G14" s="1063" t="s">
        <v>45</v>
      </c>
      <c r="H14" s="1064"/>
      <c r="I14" s="1071" t="s">
        <v>1</v>
      </c>
      <c r="J14" s="1072"/>
      <c r="K14" s="1072"/>
      <c r="L14" s="1073"/>
      <c r="M14" s="1082" t="s">
        <v>274</v>
      </c>
      <c r="N14" s="1049" t="s">
        <v>39</v>
      </c>
    </row>
    <row r="15" spans="1:14" ht="30.75" customHeight="1" x14ac:dyDescent="0.25">
      <c r="A15" s="1080"/>
      <c r="B15" s="1077"/>
      <c r="C15" s="1074" t="s">
        <v>31</v>
      </c>
      <c r="D15" s="1058" t="s">
        <v>32</v>
      </c>
      <c r="E15" s="1056" t="s">
        <v>33</v>
      </c>
      <c r="F15" s="1069" t="s">
        <v>34</v>
      </c>
      <c r="G15" s="1067" t="s">
        <v>31</v>
      </c>
      <c r="H15" s="1065" t="s">
        <v>32</v>
      </c>
      <c r="I15" s="1054" t="s">
        <v>46</v>
      </c>
      <c r="J15" s="1052" t="s">
        <v>47</v>
      </c>
      <c r="K15" s="1052" t="s">
        <v>130</v>
      </c>
      <c r="L15" s="1052" t="s">
        <v>131</v>
      </c>
      <c r="M15" s="1083"/>
      <c r="N15" s="1050"/>
    </row>
    <row r="16" spans="1:14" s="1" customFormat="1" ht="15.75" thickBot="1" x14ac:dyDescent="0.3">
      <c r="A16" s="1081"/>
      <c r="B16" s="1078"/>
      <c r="C16" s="1075"/>
      <c r="D16" s="1059"/>
      <c r="E16" s="1057"/>
      <c r="F16" s="1070"/>
      <c r="G16" s="1068"/>
      <c r="H16" s="1066"/>
      <c r="I16" s="1055"/>
      <c r="J16" s="1053"/>
      <c r="K16" s="1053"/>
      <c r="L16" s="1053"/>
      <c r="M16" s="1084"/>
      <c r="N16" s="1051"/>
    </row>
    <row r="17" spans="1:19" x14ac:dyDescent="0.25">
      <c r="A17" s="31">
        <v>11000</v>
      </c>
      <c r="B17" s="33" t="s">
        <v>4</v>
      </c>
      <c r="C17" s="32">
        <v>0.17769266393013733</v>
      </c>
      <c r="D17" s="2">
        <f>ROUND(C17*$C$5,0)</f>
        <v>2984419559</v>
      </c>
      <c r="E17" s="2"/>
      <c r="F17" s="3">
        <f>D17-E17</f>
        <v>2984419559</v>
      </c>
      <c r="G17" s="35">
        <f>'2d Výkonová část segment 4'!V6</f>
        <v>0.21153395888076026</v>
      </c>
      <c r="H17" s="3">
        <f>ROUND(G17*$C$6,0)</f>
        <v>735431264</v>
      </c>
      <c r="I17" s="334">
        <v>318209948</v>
      </c>
      <c r="J17" s="335">
        <f>VLOOKUP(A17,'3a Ukazatel P - Pedagog. fak.'!$A$8:$P$16,16,0)</f>
        <v>23190290</v>
      </c>
      <c r="K17" s="335">
        <f>VLOOKUP(A17,'3b Ukazatel P - pedagogické SP'!$B$10:$I$25,8,0)</f>
        <v>13717722</v>
      </c>
      <c r="L17" s="336"/>
      <c r="M17" s="852"/>
      <c r="N17" s="328">
        <f t="shared" ref="N17:N36" si="0">SUM(F17,H17,I17:M17)</f>
        <v>4074968783</v>
      </c>
    </row>
    <row r="18" spans="1:19" x14ac:dyDescent="0.25">
      <c r="A18" s="30">
        <v>12000</v>
      </c>
      <c r="B18" s="34" t="s">
        <v>5</v>
      </c>
      <c r="C18" s="22">
        <v>3.082602439109907E-2</v>
      </c>
      <c r="D18" s="5">
        <f t="shared" ref="D18:D42" si="1">ROUND(C18*$C$5,0)</f>
        <v>517735443</v>
      </c>
      <c r="E18" s="5"/>
      <c r="F18" s="6">
        <f t="shared" ref="F18:F42" si="2">D18-E18</f>
        <v>517735443</v>
      </c>
      <c r="G18" s="36">
        <f>'2c Výkonová část segment 3'!V6</f>
        <v>3.1943103760697103E-2</v>
      </c>
      <c r="H18" s="6">
        <f>ROUND(G18*$C$6,0)</f>
        <v>111055252</v>
      </c>
      <c r="I18" s="337"/>
      <c r="J18" s="5">
        <f>VLOOKUP(A18,'3a Ukazatel P - Pedagog. fak.'!$A$8:$P$16,16,0)</f>
        <v>10968609</v>
      </c>
      <c r="K18" s="5">
        <f>VLOOKUP(A18,'3b Ukazatel P - pedagogické SP'!$B$10:$I$25,8,0)</f>
        <v>6571003</v>
      </c>
      <c r="L18" s="21"/>
      <c r="M18" s="853"/>
      <c r="N18" s="329">
        <f t="shared" si="0"/>
        <v>646330307</v>
      </c>
    </row>
    <row r="19" spans="1:19" x14ac:dyDescent="0.25">
      <c r="A19" s="30">
        <v>13000</v>
      </c>
      <c r="B19" s="34" t="s">
        <v>6</v>
      </c>
      <c r="C19" s="22">
        <v>2.4582741623257617E-2</v>
      </c>
      <c r="D19" s="5">
        <f t="shared" si="1"/>
        <v>412877005</v>
      </c>
      <c r="E19" s="5"/>
      <c r="F19" s="6">
        <f t="shared" si="2"/>
        <v>412877005</v>
      </c>
      <c r="G19" s="36">
        <f>'2c Výkonová část segment 3'!V7</f>
        <v>1.5489435872251527E-2</v>
      </c>
      <c r="H19" s="6">
        <f>ROUND(G19*$C$6-0.2,0)</f>
        <v>53851473</v>
      </c>
      <c r="I19" s="337"/>
      <c r="J19" s="5">
        <f>VLOOKUP(A19,'3a Ukazatel P - Pedagog. fak.'!$A$8:$P$16,16,0)</f>
        <v>11146570</v>
      </c>
      <c r="K19" s="5">
        <f>VLOOKUP(A19,'3b Ukazatel P - pedagogické SP'!$B$10:$I$25,8,0)</f>
        <v>5523612</v>
      </c>
      <c r="L19" s="21"/>
      <c r="M19" s="853"/>
      <c r="N19" s="329">
        <f t="shared" si="0"/>
        <v>483398660</v>
      </c>
    </row>
    <row r="20" spans="1:19" x14ac:dyDescent="0.25">
      <c r="A20" s="30">
        <v>14000</v>
      </c>
      <c r="B20" s="34" t="s">
        <v>7</v>
      </c>
      <c r="C20" s="22">
        <v>0.11343656061096324</v>
      </c>
      <c r="D20" s="5">
        <f t="shared" si="1"/>
        <v>1905212532</v>
      </c>
      <c r="E20" s="5"/>
      <c r="F20" s="6">
        <f t="shared" si="2"/>
        <v>1905212532</v>
      </c>
      <c r="G20" s="35">
        <f>'2d Výkonová část segment 4'!V7</f>
        <v>0.11922532351867603</v>
      </c>
      <c r="H20" s="6">
        <f t="shared" ref="H20:H42" si="3">ROUND(G20*$C$6,0)</f>
        <v>414505694</v>
      </c>
      <c r="I20" s="337">
        <v>100016776</v>
      </c>
      <c r="J20" s="5">
        <f>VLOOKUP(A20,'3a Ukazatel P - Pedagog. fak.'!$A$8:$P$16,16,0)</f>
        <v>14627782</v>
      </c>
      <c r="K20" s="5">
        <f>VLOOKUP(A20,'3b Ukazatel P - pedagogické SP'!$B$10:$I$25,8,0)</f>
        <v>16737674</v>
      </c>
      <c r="L20" s="21"/>
      <c r="M20" s="853"/>
      <c r="N20" s="330">
        <f t="shared" si="0"/>
        <v>2451100458</v>
      </c>
    </row>
    <row r="21" spans="1:19" x14ac:dyDescent="0.25">
      <c r="A21" s="30">
        <v>15000</v>
      </c>
      <c r="B21" s="34" t="s">
        <v>8</v>
      </c>
      <c r="C21" s="22">
        <v>6.3291886180730228E-2</v>
      </c>
      <c r="D21" s="5">
        <f t="shared" si="1"/>
        <v>1063012613</v>
      </c>
      <c r="E21" s="5"/>
      <c r="F21" s="6">
        <f t="shared" si="2"/>
        <v>1063012613</v>
      </c>
      <c r="G21" s="35">
        <f>'2d Výkonová část segment 4'!V8</f>
        <v>7.7036683844258658E-2</v>
      </c>
      <c r="H21" s="6">
        <f t="shared" si="3"/>
        <v>267830215</v>
      </c>
      <c r="I21" s="337">
        <v>55263035</v>
      </c>
      <c r="J21" s="5">
        <f>VLOOKUP(A21,'3a Ukazatel P - Pedagog. fak.'!$A$8:$P$16,16,0)</f>
        <v>10171220</v>
      </c>
      <c r="K21" s="5">
        <f>VLOOKUP(A21,'3b Ukazatel P - pedagogické SP'!$B$10:$I$25,8,0)</f>
        <v>13804663</v>
      </c>
      <c r="L21" s="21"/>
      <c r="M21" s="853"/>
      <c r="N21" s="330">
        <f>SUM(F21,H21,I21:M21)</f>
        <v>1410081746</v>
      </c>
      <c r="P21" s="1"/>
      <c r="Q21" s="1"/>
      <c r="R21" s="1"/>
      <c r="S21" s="1"/>
    </row>
    <row r="22" spans="1:19" x14ac:dyDescent="0.25">
      <c r="A22" s="30">
        <v>16000</v>
      </c>
      <c r="B22" s="34" t="s">
        <v>9</v>
      </c>
      <c r="C22" s="22">
        <v>1.5700719603240668E-2</v>
      </c>
      <c r="D22" s="5">
        <f t="shared" si="1"/>
        <v>263699883</v>
      </c>
      <c r="E22" s="5"/>
      <c r="F22" s="6">
        <f t="shared" si="2"/>
        <v>263699883</v>
      </c>
      <c r="G22" s="36">
        <f>'2c Výkonová část segment 3'!V8</f>
        <v>1.2913026452073604E-2</v>
      </c>
      <c r="H22" s="6">
        <f t="shared" si="3"/>
        <v>44894179</v>
      </c>
      <c r="I22" s="337"/>
      <c r="J22" s="5"/>
      <c r="K22" s="5"/>
      <c r="L22" s="21"/>
      <c r="M22" s="853"/>
      <c r="N22" s="329">
        <f t="shared" si="0"/>
        <v>308594062</v>
      </c>
    </row>
    <row r="23" spans="1:19" x14ac:dyDescent="0.25">
      <c r="A23" s="30">
        <v>17000</v>
      </c>
      <c r="B23" s="34" t="s">
        <v>10</v>
      </c>
      <c r="C23" s="22">
        <v>2.7883961720174572E-2</v>
      </c>
      <c r="D23" s="5">
        <f t="shared" si="1"/>
        <v>468322321</v>
      </c>
      <c r="E23" s="5"/>
      <c r="F23" s="6">
        <f t="shared" si="2"/>
        <v>468322321</v>
      </c>
      <c r="G23" s="36">
        <f>'2c Výkonová část segment 3'!V9</f>
        <v>2.4996610159820461E-2</v>
      </c>
      <c r="H23" s="6">
        <f t="shared" si="3"/>
        <v>86904669</v>
      </c>
      <c r="I23" s="337">
        <v>26510241</v>
      </c>
      <c r="J23" s="5">
        <f>VLOOKUP(A23,'3a Ukazatel P - Pedagog. fak.'!$A$8:$P$16,16,0)</f>
        <v>7914986</v>
      </c>
      <c r="K23" s="5">
        <f>VLOOKUP(A23,'3b Ukazatel P - pedagogické SP'!$B$10:$I$25,8,0)</f>
        <v>6517468</v>
      </c>
      <c r="L23" s="21"/>
      <c r="M23" s="853"/>
      <c r="N23" s="329">
        <f t="shared" si="0"/>
        <v>596169685</v>
      </c>
    </row>
    <row r="24" spans="1:19" x14ac:dyDescent="0.25">
      <c r="A24" s="30">
        <v>18000</v>
      </c>
      <c r="B24" s="34" t="s">
        <v>11</v>
      </c>
      <c r="C24" s="22">
        <v>1.6988869327702848E-2</v>
      </c>
      <c r="D24" s="5">
        <f t="shared" si="1"/>
        <v>285334874</v>
      </c>
      <c r="E24" s="5"/>
      <c r="F24" s="6">
        <f t="shared" si="2"/>
        <v>285334874</v>
      </c>
      <c r="G24" s="36">
        <f>'2c Výkonová část segment 3'!V10</f>
        <v>1.6956083692862865E-2</v>
      </c>
      <c r="H24" s="6">
        <f t="shared" si="3"/>
        <v>58950507</v>
      </c>
      <c r="I24" s="337"/>
      <c r="J24" s="5">
        <f>VLOOKUP(A24,'3a Ukazatel P - Pedagog. fak.'!$A$8:$P$16,16,0)</f>
        <v>15900333</v>
      </c>
      <c r="K24" s="5">
        <f>VLOOKUP(A24,'3b Ukazatel P - pedagogické SP'!$B$10:$I$25,8,0)</f>
        <v>6868369</v>
      </c>
      <c r="L24" s="21"/>
      <c r="M24" s="853"/>
      <c r="N24" s="329">
        <f t="shared" si="0"/>
        <v>367054083</v>
      </c>
    </row>
    <row r="25" spans="1:19" x14ac:dyDescent="0.25">
      <c r="A25" s="30">
        <v>19000</v>
      </c>
      <c r="B25" s="34" t="s">
        <v>12</v>
      </c>
      <c r="C25" s="22">
        <v>1.5380770044140011E-2</v>
      </c>
      <c r="D25" s="5">
        <f t="shared" si="1"/>
        <v>258326202</v>
      </c>
      <c r="E25" s="5"/>
      <c r="F25" s="6">
        <f t="shared" si="2"/>
        <v>258326202</v>
      </c>
      <c r="G25" s="36">
        <f>'2c Výkonová část segment 3'!V11</f>
        <v>1.0170397833912905E-2</v>
      </c>
      <c r="H25" s="6">
        <f t="shared" si="3"/>
        <v>35358997</v>
      </c>
      <c r="I25" s="337"/>
      <c r="J25" s="5"/>
      <c r="K25" s="5">
        <f>VLOOKUP(A25,'3b Ukazatel P - pedagogické SP'!$B$10:$I$25,8,0)</f>
        <v>942844</v>
      </c>
      <c r="L25" s="21"/>
      <c r="M25" s="853"/>
      <c r="N25" s="329">
        <f t="shared" si="0"/>
        <v>294628043</v>
      </c>
    </row>
    <row r="26" spans="1:19" x14ac:dyDescent="0.25">
      <c r="A26" s="30">
        <v>21000</v>
      </c>
      <c r="B26" s="34" t="s">
        <v>13</v>
      </c>
      <c r="C26" s="22">
        <v>8.6000149591062336E-2</v>
      </c>
      <c r="D26" s="5">
        <f t="shared" si="1"/>
        <v>1444407005</v>
      </c>
      <c r="E26" s="5"/>
      <c r="F26" s="6">
        <f t="shared" si="2"/>
        <v>1444407005</v>
      </c>
      <c r="G26" s="35">
        <f>'2d Výkonová část segment 4'!V9</f>
        <v>8.6538329636338202E-2</v>
      </c>
      <c r="H26" s="6">
        <f t="shared" si="3"/>
        <v>300864190</v>
      </c>
      <c r="I26" s="337"/>
      <c r="J26" s="5"/>
      <c r="K26" s="5">
        <f>VLOOKUP(A26,'3b Ukazatel P - pedagogické SP'!$B$10:$I$25,8,0)</f>
        <v>563191</v>
      </c>
      <c r="L26" s="21"/>
      <c r="M26" s="853"/>
      <c r="N26" s="330">
        <f t="shared" si="0"/>
        <v>1745834386</v>
      </c>
    </row>
    <row r="27" spans="1:19" x14ac:dyDescent="0.25">
      <c r="A27" s="30">
        <v>22000</v>
      </c>
      <c r="B27" s="34" t="s">
        <v>14</v>
      </c>
      <c r="C27" s="22">
        <v>2.2861221426518533E-2</v>
      </c>
      <c r="D27" s="5">
        <f t="shared" si="1"/>
        <v>383963383</v>
      </c>
      <c r="E27" s="5">
        <v>5334114</v>
      </c>
      <c r="F27" s="6">
        <f t="shared" si="2"/>
        <v>378629269</v>
      </c>
      <c r="G27" s="36">
        <f>'2c Výkonová část segment 3'!V12</f>
        <v>3.2168580894077599E-2</v>
      </c>
      <c r="H27" s="6">
        <f t="shared" si="3"/>
        <v>111839159</v>
      </c>
      <c r="I27" s="337"/>
      <c r="J27" s="5"/>
      <c r="K27" s="5">
        <f>VLOOKUP(A27,'3b Ukazatel P - pedagogické SP'!$B$10:$I$25,8,0)</f>
        <v>182885</v>
      </c>
      <c r="L27" s="21"/>
      <c r="M27" s="853"/>
      <c r="N27" s="329">
        <f t="shared" si="0"/>
        <v>490651313</v>
      </c>
    </row>
    <row r="28" spans="1:19" x14ac:dyDescent="0.25">
      <c r="A28" s="30">
        <v>23000</v>
      </c>
      <c r="B28" s="34" t="s">
        <v>15</v>
      </c>
      <c r="C28" s="22">
        <v>3.7418715986449913E-2</v>
      </c>
      <c r="D28" s="5">
        <f t="shared" si="1"/>
        <v>628462343</v>
      </c>
      <c r="E28" s="5"/>
      <c r="F28" s="6">
        <f t="shared" si="2"/>
        <v>628462343</v>
      </c>
      <c r="G28" s="36">
        <f>'2c Výkonová část segment 3'!V13</f>
        <v>3.4509514647307275E-2</v>
      </c>
      <c r="H28" s="6">
        <f t="shared" si="3"/>
        <v>119977786</v>
      </c>
      <c r="I28" s="337"/>
      <c r="J28" s="5">
        <f>VLOOKUP(A28,'3a Ukazatel P - Pedagog. fak.'!$A$8:$P$16,16,0)</f>
        <v>11075243</v>
      </c>
      <c r="K28" s="5">
        <f>VLOOKUP(A28,'3b Ukazatel P - pedagogické SP'!$B$10:$I$25,8,0)</f>
        <v>3971501</v>
      </c>
      <c r="L28" s="21"/>
      <c r="M28" s="853"/>
      <c r="N28" s="329">
        <f t="shared" si="0"/>
        <v>763486873</v>
      </c>
    </row>
    <row r="29" spans="1:19" x14ac:dyDescent="0.25">
      <c r="A29" s="30">
        <v>24000</v>
      </c>
      <c r="B29" s="34" t="s">
        <v>16</v>
      </c>
      <c r="C29" s="22">
        <v>2.1809672008994151E-2</v>
      </c>
      <c r="D29" s="5">
        <f t="shared" si="1"/>
        <v>366302189</v>
      </c>
      <c r="E29" s="5"/>
      <c r="F29" s="6">
        <f t="shared" si="2"/>
        <v>366302189</v>
      </c>
      <c r="G29" s="36">
        <f>'2c Výkonová část segment 3'!V14</f>
        <v>1.8647772226318211E-2</v>
      </c>
      <c r="H29" s="6">
        <f t="shared" si="3"/>
        <v>64831929</v>
      </c>
      <c r="I29" s="337"/>
      <c r="J29" s="5">
        <f>VLOOKUP(A29,'3a Ukazatel P - Pedagog. fak.'!$A$8:$P$16,16,0)</f>
        <v>10004967</v>
      </c>
      <c r="K29" s="5">
        <f>VLOOKUP(A29,'3b Ukazatel P - pedagogické SP'!$B$10:$I$25,8,0)</f>
        <v>3454908</v>
      </c>
      <c r="L29" s="21"/>
      <c r="M29" s="853"/>
      <c r="N29" s="329">
        <f t="shared" si="0"/>
        <v>444593993</v>
      </c>
    </row>
    <row r="30" spans="1:19" x14ac:dyDescent="0.25">
      <c r="A30" s="30">
        <v>25000</v>
      </c>
      <c r="B30" s="34" t="s">
        <v>17</v>
      </c>
      <c r="C30" s="22">
        <v>2.6156400983062163E-2</v>
      </c>
      <c r="D30" s="5">
        <f t="shared" si="1"/>
        <v>439307245</v>
      </c>
      <c r="E30" s="5"/>
      <c r="F30" s="6">
        <f t="shared" si="2"/>
        <v>439307245</v>
      </c>
      <c r="G30" s="36">
        <f>'2c Výkonová část segment 3'!V15</f>
        <v>2.2080970001663449E-2</v>
      </c>
      <c r="H30" s="6">
        <f t="shared" si="3"/>
        <v>76767984</v>
      </c>
      <c r="I30" s="337"/>
      <c r="J30" s="5"/>
      <c r="K30" s="5">
        <f>VLOOKUP(A30,'3b Ukazatel P - pedagogické SP'!$B$10:$I$25,8,0)</f>
        <v>550535</v>
      </c>
      <c r="L30" s="21"/>
      <c r="M30" s="853"/>
      <c r="N30" s="329">
        <f t="shared" si="0"/>
        <v>516625764</v>
      </c>
    </row>
    <row r="31" spans="1:19" x14ac:dyDescent="0.25">
      <c r="A31" s="30">
        <v>26000</v>
      </c>
      <c r="B31" s="34" t="s">
        <v>18</v>
      </c>
      <c r="C31" s="22">
        <v>6.9372909625618692E-2</v>
      </c>
      <c r="D31" s="5">
        <f t="shared" si="1"/>
        <v>1165145841</v>
      </c>
      <c r="E31" s="5"/>
      <c r="F31" s="6">
        <f t="shared" si="2"/>
        <v>1165145841</v>
      </c>
      <c r="G31" s="35">
        <f>'2d Výkonová část segment 4'!V10</f>
        <v>6.3512735808606682E-2</v>
      </c>
      <c r="H31" s="6">
        <f t="shared" si="3"/>
        <v>220812071</v>
      </c>
      <c r="I31" s="337"/>
      <c r="J31" s="5"/>
      <c r="K31" s="5"/>
      <c r="L31" s="21"/>
      <c r="M31" s="853"/>
      <c r="N31" s="330">
        <f t="shared" si="0"/>
        <v>1385957912</v>
      </c>
    </row>
    <row r="32" spans="1:19" x14ac:dyDescent="0.25">
      <c r="A32" s="30">
        <v>27000</v>
      </c>
      <c r="B32" s="34" t="s">
        <v>19</v>
      </c>
      <c r="C32" s="22">
        <v>4.8347993229739039E-2</v>
      </c>
      <c r="D32" s="5">
        <f t="shared" si="1"/>
        <v>812023937</v>
      </c>
      <c r="E32" s="5">
        <v>15504947</v>
      </c>
      <c r="F32" s="6">
        <f t="shared" si="2"/>
        <v>796518990</v>
      </c>
      <c r="G32" s="36">
        <f>'2c Výkonová část segment 3'!V16</f>
        <v>3.58152461066472E-2</v>
      </c>
      <c r="H32" s="6">
        <f t="shared" si="3"/>
        <v>124517368</v>
      </c>
      <c r="I32" s="337"/>
      <c r="J32" s="5"/>
      <c r="K32" s="5"/>
      <c r="L32" s="21"/>
      <c r="M32" s="853"/>
      <c r="N32" s="329">
        <f t="shared" si="0"/>
        <v>921036358</v>
      </c>
      <c r="P32" s="755"/>
    </row>
    <row r="33" spans="1:16" x14ac:dyDescent="0.25">
      <c r="A33" s="30">
        <v>28000</v>
      </c>
      <c r="B33" s="34" t="s">
        <v>20</v>
      </c>
      <c r="C33" s="22">
        <v>3.1624516501885302E-2</v>
      </c>
      <c r="D33" s="5">
        <f>ROUND(C33*$C$5+0.1,0)</f>
        <v>531146439</v>
      </c>
      <c r="E33" s="5"/>
      <c r="F33" s="6">
        <f t="shared" si="2"/>
        <v>531146439</v>
      </c>
      <c r="G33" s="36">
        <f>'2c Výkonová část segment 3'!V17</f>
        <v>2.5292418562261838E-2</v>
      </c>
      <c r="H33" s="6">
        <f t="shared" si="3"/>
        <v>87933093</v>
      </c>
      <c r="I33" s="337"/>
      <c r="J33" s="5"/>
      <c r="K33" s="5">
        <f>VLOOKUP(A33,'3b Ukazatel P - pedagogické SP'!$B$10:$I$25,8,0)</f>
        <v>3792430</v>
      </c>
      <c r="L33" s="21"/>
      <c r="M33" s="853"/>
      <c r="N33" s="329">
        <f t="shared" si="0"/>
        <v>622871962</v>
      </c>
    </row>
    <row r="34" spans="1:16" x14ac:dyDescent="0.25">
      <c r="A34" s="30">
        <v>31000</v>
      </c>
      <c r="B34" s="34" t="s">
        <v>21</v>
      </c>
      <c r="C34" s="22">
        <v>3.6223762423103448E-2</v>
      </c>
      <c r="D34" s="5">
        <f t="shared" si="1"/>
        <v>608392618</v>
      </c>
      <c r="E34" s="5"/>
      <c r="F34" s="6">
        <f t="shared" si="2"/>
        <v>608392618</v>
      </c>
      <c r="G34" s="36">
        <f>'2c Výkonová část segment 3'!V18</f>
        <v>3.4451956964391003E-2</v>
      </c>
      <c r="H34" s="6">
        <f t="shared" si="3"/>
        <v>119777677</v>
      </c>
      <c r="I34" s="337"/>
      <c r="J34" s="5"/>
      <c r="K34" s="5"/>
      <c r="L34" s="21">
        <v>6800000</v>
      </c>
      <c r="M34" s="853"/>
      <c r="N34" s="329">
        <f t="shared" si="0"/>
        <v>734970295</v>
      </c>
    </row>
    <row r="35" spans="1:16" x14ac:dyDescent="0.25">
      <c r="A35" s="30">
        <v>41000</v>
      </c>
      <c r="B35" s="34" t="s">
        <v>22</v>
      </c>
      <c r="C35" s="22">
        <v>5.0773398703077011E-2</v>
      </c>
      <c r="D35" s="5">
        <f t="shared" si="1"/>
        <v>852759595</v>
      </c>
      <c r="E35" s="5"/>
      <c r="F35" s="6">
        <f t="shared" si="2"/>
        <v>852759595</v>
      </c>
      <c r="G35" s="36">
        <f>'2c Výkonová část segment 3'!V19</f>
        <v>5.0921934530644343E-2</v>
      </c>
      <c r="H35" s="6">
        <f t="shared" si="3"/>
        <v>177038159</v>
      </c>
      <c r="I35" s="337"/>
      <c r="J35" s="5"/>
      <c r="K35" s="5">
        <f>VLOOKUP(A35,'3b Ukazatel P - pedagogické SP'!$B$10:$I$25,8,0)</f>
        <v>1218882</v>
      </c>
      <c r="L35" s="21"/>
      <c r="M35" s="853"/>
      <c r="N35" s="329">
        <f t="shared" si="0"/>
        <v>1031016636</v>
      </c>
    </row>
    <row r="36" spans="1:16" x14ac:dyDescent="0.25">
      <c r="A36" s="30">
        <v>43000</v>
      </c>
      <c r="B36" s="34" t="s">
        <v>23</v>
      </c>
      <c r="C36" s="22">
        <v>2.9669895062079548E-2</v>
      </c>
      <c r="D36" s="5">
        <f t="shared" si="1"/>
        <v>498317787</v>
      </c>
      <c r="E36" s="5"/>
      <c r="F36" s="6">
        <f t="shared" si="2"/>
        <v>498317787</v>
      </c>
      <c r="G36" s="36">
        <f>'2c Výkonová část segment 3'!V20</f>
        <v>3.0185697552907977E-2</v>
      </c>
      <c r="H36" s="6">
        <f t="shared" si="3"/>
        <v>104945352</v>
      </c>
      <c r="I36" s="337"/>
      <c r="J36" s="5"/>
      <c r="K36" s="5">
        <f>VLOOKUP(A36,'3b Ukazatel P - pedagogické SP'!$B$10:$I$25,8,0)</f>
        <v>582313</v>
      </c>
      <c r="L36" s="21"/>
      <c r="M36" s="853"/>
      <c r="N36" s="329">
        <f t="shared" si="0"/>
        <v>603845452</v>
      </c>
    </row>
    <row r="37" spans="1:16" x14ac:dyDescent="0.25">
      <c r="A37" s="30">
        <v>51000</v>
      </c>
      <c r="B37" s="34" t="s">
        <v>24</v>
      </c>
      <c r="C37" s="22">
        <v>1.772E-2</v>
      </c>
      <c r="D37" s="5">
        <f t="shared" si="1"/>
        <v>297614507</v>
      </c>
      <c r="E37" s="5"/>
      <c r="F37" s="6">
        <f t="shared" si="2"/>
        <v>297614507</v>
      </c>
      <c r="G37" s="36">
        <f>'2a Výkonová část segment 1'!R6</f>
        <v>1.4222391131127401E-2</v>
      </c>
      <c r="H37" s="6">
        <f t="shared" si="3"/>
        <v>49446392</v>
      </c>
      <c r="I37" s="337"/>
      <c r="J37" s="5"/>
      <c r="K37" s="5"/>
      <c r="L37" s="21"/>
      <c r="M37" s="853">
        <f>ROUND(0.443*$C$12,0)</f>
        <v>16554910</v>
      </c>
      <c r="N37" s="331">
        <f t="shared" ref="N37:N42" si="4">SUM(F37,H37,I37:M37)</f>
        <v>363615809</v>
      </c>
    </row>
    <row r="38" spans="1:16" x14ac:dyDescent="0.25">
      <c r="A38" s="30">
        <v>52000</v>
      </c>
      <c r="B38" s="34" t="s">
        <v>25</v>
      </c>
      <c r="C38" s="22">
        <v>4.8399999999999997E-3</v>
      </c>
      <c r="D38" s="5">
        <f t="shared" si="1"/>
        <v>81289741</v>
      </c>
      <c r="E38" s="5"/>
      <c r="F38" s="6">
        <f t="shared" si="2"/>
        <v>81289741</v>
      </c>
      <c r="G38" s="36">
        <f>'2a Výkonová část segment 1'!R7</f>
        <v>4.3561567604483145E-3</v>
      </c>
      <c r="H38" s="6">
        <f t="shared" si="3"/>
        <v>15144868</v>
      </c>
      <c r="I38" s="337"/>
      <c r="J38" s="5"/>
      <c r="K38" s="5"/>
      <c r="L38" s="21"/>
      <c r="M38" s="853">
        <f>ROUND(0.121*$C$12,0)</f>
        <v>4521770</v>
      </c>
      <c r="N38" s="331">
        <f t="shared" si="4"/>
        <v>100956379</v>
      </c>
    </row>
    <row r="39" spans="1:16" x14ac:dyDescent="0.25">
      <c r="A39" s="30">
        <v>53000</v>
      </c>
      <c r="B39" s="34" t="s">
        <v>26</v>
      </c>
      <c r="C39" s="22">
        <v>6.8000000000000005E-3</v>
      </c>
      <c r="D39" s="5">
        <f t="shared" si="1"/>
        <v>114208727</v>
      </c>
      <c r="E39" s="5"/>
      <c r="F39" s="6">
        <f t="shared" si="2"/>
        <v>114208727</v>
      </c>
      <c r="G39" s="36">
        <f>'2a Výkonová část segment 1'!R8</f>
        <v>7.3449141227323374E-3</v>
      </c>
      <c r="H39" s="6">
        <f t="shared" si="3"/>
        <v>25535756</v>
      </c>
      <c r="I39" s="337"/>
      <c r="J39" s="5"/>
      <c r="K39" s="5"/>
      <c r="L39" s="21"/>
      <c r="M39" s="853">
        <f>ROUND(0.17*$C$12,0)</f>
        <v>6352900</v>
      </c>
      <c r="N39" s="331">
        <f t="shared" si="4"/>
        <v>146097383</v>
      </c>
    </row>
    <row r="40" spans="1:16" x14ac:dyDescent="0.25">
      <c r="A40" s="30">
        <v>54000</v>
      </c>
      <c r="B40" s="34" t="s">
        <v>27</v>
      </c>
      <c r="C40" s="22">
        <v>1.064E-2</v>
      </c>
      <c r="D40" s="5">
        <f t="shared" si="1"/>
        <v>178703067</v>
      </c>
      <c r="E40" s="5"/>
      <c r="F40" s="6">
        <f t="shared" si="2"/>
        <v>178703067</v>
      </c>
      <c r="G40" s="36">
        <f>'2a Výkonová část segment 1'!R9</f>
        <v>6.1970473507206815E-3</v>
      </c>
      <c r="H40" s="6">
        <f t="shared" si="3"/>
        <v>21545015</v>
      </c>
      <c r="I40" s="337"/>
      <c r="J40" s="5"/>
      <c r="K40" s="5"/>
      <c r="L40" s="21"/>
      <c r="M40" s="853">
        <f>ROUND(0.266*$C$12,0)</f>
        <v>9940420</v>
      </c>
      <c r="N40" s="331">
        <f t="shared" si="4"/>
        <v>210188502</v>
      </c>
    </row>
    <row r="41" spans="1:16" x14ac:dyDescent="0.25">
      <c r="A41" s="30">
        <v>55000</v>
      </c>
      <c r="B41" s="34" t="s">
        <v>28</v>
      </c>
      <c r="C41" s="22">
        <v>5.8242555510266344E-3</v>
      </c>
      <c r="D41" s="5">
        <f t="shared" si="1"/>
        <v>97820708</v>
      </c>
      <c r="E41" s="5"/>
      <c r="F41" s="6">
        <f t="shared" si="2"/>
        <v>97820708</v>
      </c>
      <c r="G41" s="4">
        <f>'2b Výkonová část segment 2'!J6</f>
        <v>6.4241027886604782E-3</v>
      </c>
      <c r="H41" s="6">
        <f t="shared" si="3"/>
        <v>22334409</v>
      </c>
      <c r="I41" s="337"/>
      <c r="J41" s="5"/>
      <c r="K41" s="5"/>
      <c r="L41" s="21"/>
      <c r="M41" s="853"/>
      <c r="N41" s="332">
        <f t="shared" si="4"/>
        <v>120155117</v>
      </c>
    </row>
    <row r="42" spans="1:16" ht="15" customHeight="1" thickBot="1" x14ac:dyDescent="0.3">
      <c r="A42" s="37">
        <v>56000</v>
      </c>
      <c r="B42" s="38" t="s">
        <v>29</v>
      </c>
      <c r="C42" s="39">
        <v>8.1329114759375667E-3</v>
      </c>
      <c r="D42" s="7">
        <f t="shared" si="1"/>
        <v>136595510</v>
      </c>
      <c r="E42" s="7"/>
      <c r="F42" s="8">
        <f t="shared" si="2"/>
        <v>136595510</v>
      </c>
      <c r="G42" s="4">
        <f>'2b Výkonová část segment 2'!J7</f>
        <v>7.0656068998335821E-3</v>
      </c>
      <c r="H42" s="8">
        <f t="shared" si="3"/>
        <v>24564700</v>
      </c>
      <c r="I42" s="339"/>
      <c r="J42" s="7"/>
      <c r="K42" s="7"/>
      <c r="L42" s="23"/>
      <c r="M42" s="854"/>
      <c r="N42" s="333">
        <f t="shared" si="4"/>
        <v>161160210</v>
      </c>
    </row>
    <row r="43" spans="1:16" ht="15.75" thickBot="1" x14ac:dyDescent="0.3">
      <c r="A43" s="1010" t="s">
        <v>30</v>
      </c>
      <c r="B43" s="1012"/>
      <c r="C43" s="25">
        <f t="shared" ref="C43:N43" si="5">SUM(C17:C42)</f>
        <v>0.99999999999999978</v>
      </c>
      <c r="D43" s="10">
        <f t="shared" si="5"/>
        <v>16795401074</v>
      </c>
      <c r="E43" s="10">
        <f t="shared" si="5"/>
        <v>20839061</v>
      </c>
      <c r="F43" s="11">
        <f t="shared" si="5"/>
        <v>16774562013</v>
      </c>
      <c r="G43" s="9">
        <f t="shared" si="5"/>
        <v>1</v>
      </c>
      <c r="H43" s="11">
        <f t="shared" si="5"/>
        <v>3476658158</v>
      </c>
      <c r="I43" s="340">
        <f t="shared" si="5"/>
        <v>500000000</v>
      </c>
      <c r="J43" s="10">
        <f t="shared" si="5"/>
        <v>115000000</v>
      </c>
      <c r="K43" s="10">
        <f t="shared" si="5"/>
        <v>85000000</v>
      </c>
      <c r="L43" s="24">
        <f t="shared" si="5"/>
        <v>6800000</v>
      </c>
      <c r="M43" s="855">
        <f>SUM(M17:M42)</f>
        <v>37370000</v>
      </c>
      <c r="N43" s="338">
        <f t="shared" si="5"/>
        <v>20995390171</v>
      </c>
      <c r="P43" s="12"/>
    </row>
    <row r="44" spans="1:16" ht="18" x14ac:dyDescent="0.3">
      <c r="A44" s="26" t="s">
        <v>50</v>
      </c>
      <c r="B44" s="16"/>
      <c r="C44" s="16"/>
      <c r="D44" s="16"/>
      <c r="E44" s="16"/>
      <c r="F44" s="16"/>
      <c r="G44" s="16"/>
      <c r="H44" s="27"/>
      <c r="I44" s="16"/>
    </row>
    <row r="45" spans="1:16" s="1" customFormat="1" ht="18" x14ac:dyDescent="0.3">
      <c r="A45" s="26" t="s">
        <v>280</v>
      </c>
      <c r="B45" s="16"/>
      <c r="C45" s="16"/>
      <c r="D45" s="16"/>
      <c r="E45" s="16"/>
      <c r="F45" s="16"/>
      <c r="G45" s="16"/>
      <c r="H45" s="27"/>
      <c r="I45" s="16"/>
      <c r="M45" s="759"/>
    </row>
    <row r="47" spans="1:16" x14ac:dyDescent="0.25">
      <c r="A47" s="41" t="s">
        <v>311</v>
      </c>
      <c r="D47" s="761"/>
    </row>
    <row r="48" spans="1:16" x14ac:dyDescent="0.25">
      <c r="D48" s="761"/>
    </row>
    <row r="49" spans="4:4" x14ac:dyDescent="0.25">
      <c r="D49" s="761"/>
    </row>
    <row r="50" spans="4:4" x14ac:dyDescent="0.25">
      <c r="D50" s="761"/>
    </row>
    <row r="51" spans="4:4" x14ac:dyDescent="0.25">
      <c r="D51" s="761"/>
    </row>
    <row r="52" spans="4:4" x14ac:dyDescent="0.25">
      <c r="D52" s="761"/>
    </row>
    <row r="53" spans="4:4" x14ac:dyDescent="0.25">
      <c r="D53" s="761"/>
    </row>
    <row r="54" spans="4:4" x14ac:dyDescent="0.25">
      <c r="D54" s="761"/>
    </row>
    <row r="55" spans="4:4" x14ac:dyDescent="0.25">
      <c r="D55" s="761"/>
    </row>
    <row r="56" spans="4:4" x14ac:dyDescent="0.25">
      <c r="D56" s="761"/>
    </row>
    <row r="57" spans="4:4" x14ac:dyDescent="0.25">
      <c r="D57" s="761"/>
    </row>
    <row r="58" spans="4:4" x14ac:dyDescent="0.25">
      <c r="D58" s="761"/>
    </row>
    <row r="59" spans="4:4" x14ac:dyDescent="0.25">
      <c r="D59" s="761"/>
    </row>
    <row r="60" spans="4:4" x14ac:dyDescent="0.25">
      <c r="D60" s="761"/>
    </row>
    <row r="61" spans="4:4" x14ac:dyDescent="0.25">
      <c r="D61" s="761"/>
    </row>
    <row r="62" spans="4:4" x14ac:dyDescent="0.25">
      <c r="D62" s="761"/>
    </row>
    <row r="63" spans="4:4" x14ac:dyDescent="0.25">
      <c r="D63" s="761"/>
    </row>
    <row r="64" spans="4:4" x14ac:dyDescent="0.25">
      <c r="D64" s="761"/>
    </row>
    <row r="65" spans="4:4" x14ac:dyDescent="0.25">
      <c r="D65" s="761"/>
    </row>
    <row r="66" spans="4:4" x14ac:dyDescent="0.25">
      <c r="D66" s="761"/>
    </row>
    <row r="67" spans="4:4" x14ac:dyDescent="0.25">
      <c r="D67" s="761"/>
    </row>
    <row r="68" spans="4:4" x14ac:dyDescent="0.25">
      <c r="D68" s="761"/>
    </row>
    <row r="69" spans="4:4" x14ac:dyDescent="0.25">
      <c r="D69" s="761"/>
    </row>
    <row r="70" spans="4:4" x14ac:dyDescent="0.25">
      <c r="D70" s="761"/>
    </row>
    <row r="71" spans="4:4" x14ac:dyDescent="0.25">
      <c r="D71" s="761"/>
    </row>
    <row r="72" spans="4:4" x14ac:dyDescent="0.25">
      <c r="D72" s="761"/>
    </row>
  </sheetData>
  <mergeCells count="18">
    <mergeCell ref="A43:B43"/>
    <mergeCell ref="C15:C16"/>
    <mergeCell ref="B14:B16"/>
    <mergeCell ref="A14:A16"/>
    <mergeCell ref="M14:M16"/>
    <mergeCell ref="N14:N16"/>
    <mergeCell ref="J15:J16"/>
    <mergeCell ref="I15:I16"/>
    <mergeCell ref="E15:E16"/>
    <mergeCell ref="D15:D16"/>
    <mergeCell ref="C14:F14"/>
    <mergeCell ref="G14:H14"/>
    <mergeCell ref="H15:H16"/>
    <mergeCell ref="G15:G16"/>
    <mergeCell ref="F15:F16"/>
    <mergeCell ref="I14:L14"/>
    <mergeCell ref="K15:K16"/>
    <mergeCell ref="L15:L16"/>
  </mergeCells>
  <hyperlinks>
    <hyperlink ref="A47" location="'0 Seznam'!A1" display="Seznam"/>
  </hyperlinks>
  <pageMargins left="0.70866141732283472" right="0.70866141732283472" top="0.78740157480314965" bottom="0.78740157480314965" header="0.31496062992125984" footer="0.31496062992125984"/>
  <pageSetup paperSize="8" scale="66" orientation="landscape" r:id="rId1"/>
  <headerFooter>
    <oddHeader xml:space="preserve">&amp;LČ. j. MSMT-1753/2020-1
</oddHeader>
  </headerFooter>
  <ignoredErrors>
    <ignoredError sqref="D33 M43 H1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17</vt:i4>
      </vt:variant>
    </vt:vector>
  </HeadingPairs>
  <TitlesOfParts>
    <vt:vector size="17" baseType="lpstr">
      <vt:lpstr>0 Seznam</vt:lpstr>
      <vt:lpstr>1 Bilance</vt:lpstr>
      <vt:lpstr>2a Výkonová část segment 1</vt:lpstr>
      <vt:lpstr>2b Výkonová část segment 2</vt:lpstr>
      <vt:lpstr>2c Výkonová část segment 3</vt:lpstr>
      <vt:lpstr>2d Výkonová část segment 4</vt:lpstr>
      <vt:lpstr>3a Ukazatel P - Pedagog. fak.</vt:lpstr>
      <vt:lpstr>3b Ukazatel P - pedagogické SP</vt:lpstr>
      <vt:lpstr>4 RO I</vt:lpstr>
      <vt:lpstr>5 Ukazatel C</vt:lpstr>
      <vt:lpstr>6 Ukazatel J</vt:lpstr>
      <vt:lpstr>7 Ukazatel U</vt:lpstr>
      <vt:lpstr>8 Ukazatel I</vt:lpstr>
      <vt:lpstr>9 Ukazatel D</vt:lpstr>
      <vt:lpstr>10 Fond umělecké činnosti</vt:lpstr>
      <vt:lpstr>11a Ukazatel F - U3V</vt:lpstr>
      <vt:lpstr>11b Ukazatel F - SSP</vt:lpstr>
    </vt:vector>
  </TitlesOfParts>
  <Company>MSMT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Ludvík Jiří</dc:creator>
  <cp:lastModifiedBy>Ludvík Jiří</cp:lastModifiedBy>
  <cp:lastPrinted>2020-01-28T11:06:38Z</cp:lastPrinted>
  <dcterms:created xsi:type="dcterms:W3CDTF">2018-12-11T07:31:06Z</dcterms:created>
  <dcterms:modified xsi:type="dcterms:W3CDTF">2020-01-30T08:46:51Z</dcterms:modified>
</cp:coreProperties>
</file>