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E:\záloha\rozpočet 2022_11_2021\K podpisu Pravidel a zveřejnění\"/>
    </mc:Choice>
  </mc:AlternateContent>
  <xr:revisionPtr revIDLastSave="0" documentId="13_ncr:1_{44686B0F-864B-46E4-A974-FD6DB6BC2064}" xr6:coauthVersionLast="36" xr6:coauthVersionMax="47" xr10:uidLastSave="{00000000-0000-0000-0000-000000000000}"/>
  <bookViews>
    <workbookView xWindow="-120" yWindow="-120" windowWidth="38640" windowHeight="21240" tabRatio="897" xr2:uid="{00000000-000D-0000-FFFF-FFFF00000000}"/>
  </bookViews>
  <sheets>
    <sheet name="0 Seznam" sheetId="32" r:id="rId1"/>
    <sheet name="1 Bilance" sheetId="31" r:id="rId2"/>
    <sheet name="2 Nastavení podílů segmentů" sheetId="36" r:id="rId3"/>
    <sheet name="2a Výkonová část segment 1" sheetId="15" r:id="rId4"/>
    <sheet name="2b Výkonová část segment 2" sheetId="16" r:id="rId5"/>
    <sheet name="2c Výkonová část segment 3" sheetId="17" r:id="rId6"/>
    <sheet name="2d Výkonová část segment 4" sheetId="18" r:id="rId7"/>
    <sheet name="3a Ukazatel P - lékařské fakult" sheetId="34" r:id="rId8"/>
    <sheet name="3b Ukazatel P - Pedagog. fak." sheetId="20" r:id="rId9"/>
    <sheet name="3c Ukazatel P - pedagogické SP" sheetId="24" r:id="rId10"/>
    <sheet name="3d Ukazatel P - deficitní aprob" sheetId="33" r:id="rId11"/>
    <sheet name="4 RO I" sheetId="10" r:id="rId12"/>
    <sheet name="5 Ukazatel C" sheetId="12" r:id="rId13"/>
    <sheet name="6 Ukazatel J" sheetId="19" r:id="rId14"/>
    <sheet name="7 Ukazatel U" sheetId="13" r:id="rId15"/>
    <sheet name="8 Ukazatel I" sheetId="26" r:id="rId16"/>
    <sheet name="9 Fond umělecké činnosti" sheetId="27" r:id="rId17"/>
    <sheet name="10a Ukazatel F - U3V" sheetId="21" r:id="rId18"/>
    <sheet name="10b Ukazatel F - SSP" sheetId="22" r:id="rId1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5" i="31" l="1"/>
  <c r="H54" i="31" l="1"/>
  <c r="H41" i="31"/>
  <c r="I41" i="31"/>
  <c r="I54" i="31" s="1"/>
  <c r="L54" i="31" l="1"/>
  <c r="L41" i="31"/>
  <c r="F33" i="19" l="1"/>
  <c r="E33" i="19"/>
  <c r="D33" i="19"/>
  <c r="C33" i="19"/>
  <c r="O64" i="31" l="1"/>
  <c r="E11" i="22" l="1"/>
  <c r="E36" i="22"/>
  <c r="E35" i="22"/>
  <c r="E34" i="22"/>
  <c r="E33" i="22"/>
  <c r="E32" i="22"/>
  <c r="E31" i="22"/>
  <c r="E30" i="22"/>
  <c r="E29" i="22"/>
  <c r="E28" i="22"/>
  <c r="E27" i="22"/>
  <c r="E26" i="22"/>
  <c r="E25" i="22"/>
  <c r="E24" i="22"/>
  <c r="E23" i="22"/>
  <c r="E22" i="22"/>
  <c r="E21" i="22"/>
  <c r="E20" i="22"/>
  <c r="E19" i="22"/>
  <c r="E18" i="22"/>
  <c r="E17" i="22"/>
  <c r="E16" i="22"/>
  <c r="E15" i="22"/>
  <c r="E14" i="22"/>
  <c r="E13" i="22"/>
  <c r="E12" i="22"/>
  <c r="D11" i="13"/>
  <c r="H36" i="10" l="1"/>
  <c r="N36" i="10" s="1"/>
  <c r="H37" i="10"/>
  <c r="N37" i="10" s="1"/>
  <c r="H43" i="10"/>
  <c r="H42" i="10"/>
  <c r="N42" i="10" s="1"/>
  <c r="H41" i="10"/>
  <c r="H40" i="10"/>
  <c r="N40" i="10" s="1"/>
  <c r="H39" i="10"/>
  <c r="H38" i="10"/>
  <c r="H35" i="10"/>
  <c r="H34" i="10"/>
  <c r="H33" i="10"/>
  <c r="N33" i="10" s="1"/>
  <c r="H32" i="10"/>
  <c r="N32" i="10" s="1"/>
  <c r="H31" i="10"/>
  <c r="H30" i="10"/>
  <c r="H29" i="10"/>
  <c r="N29" i="10" s="1"/>
  <c r="H28" i="10"/>
  <c r="N28" i="10" s="1"/>
  <c r="H27" i="10"/>
  <c r="H26" i="10"/>
  <c r="H25" i="10"/>
  <c r="N25" i="10" s="1"/>
  <c r="H24" i="10"/>
  <c r="N24" i="10" s="1"/>
  <c r="H23" i="10"/>
  <c r="H22" i="10"/>
  <c r="H21" i="10"/>
  <c r="N21" i="10" s="1"/>
  <c r="H20" i="10"/>
  <c r="N20" i="10" s="1"/>
  <c r="H19" i="10"/>
  <c r="H18" i="10"/>
  <c r="N18" i="10" s="1"/>
  <c r="N38" i="10"/>
  <c r="N43" i="10"/>
  <c r="N41" i="10"/>
  <c r="N39" i="10"/>
  <c r="N35" i="10"/>
  <c r="N34" i="10"/>
  <c r="N31" i="10"/>
  <c r="N30" i="10"/>
  <c r="N27" i="10"/>
  <c r="N26" i="10"/>
  <c r="N23" i="10"/>
  <c r="N22" i="10"/>
  <c r="N19" i="10"/>
  <c r="E13" i="34"/>
  <c r="E12" i="34"/>
  <c r="E11" i="34"/>
  <c r="E10" i="34"/>
  <c r="E9" i="34"/>
  <c r="E8" i="34"/>
  <c r="E7" i="34"/>
  <c r="E6" i="34"/>
  <c r="E36" i="21" l="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6" i="21" l="1"/>
  <c r="E5" i="21"/>
  <c r="D33" i="26" l="1"/>
  <c r="C12" i="36"/>
  <c r="C8" i="10" l="1"/>
  <c r="C9" i="27"/>
  <c r="E5" i="22"/>
  <c r="O31" i="31" l="1"/>
  <c r="C3" i="36" l="1"/>
  <c r="C5" i="36" s="1"/>
  <c r="D10" i="36" s="1"/>
  <c r="E10" i="36" s="1"/>
  <c r="C5" i="10"/>
  <c r="G43" i="33"/>
  <c r="H38" i="33" s="1"/>
  <c r="E43" i="33"/>
  <c r="F38" i="33" s="1"/>
  <c r="D8" i="36" l="1"/>
  <c r="D9" i="36"/>
  <c r="E9" i="36" s="1"/>
  <c r="D11" i="36"/>
  <c r="E11" i="36" s="1"/>
  <c r="H29" i="33"/>
  <c r="F36" i="33"/>
  <c r="H30" i="33"/>
  <c r="H36" i="33"/>
  <c r="F31" i="33"/>
  <c r="F37" i="33"/>
  <c r="H34" i="33"/>
  <c r="H39" i="33"/>
  <c r="H28" i="33"/>
  <c r="H32" i="33"/>
  <c r="D12" i="36"/>
  <c r="E8" i="36"/>
  <c r="F29" i="33"/>
  <c r="F30" i="33"/>
  <c r="F39" i="33"/>
  <c r="F40" i="33"/>
  <c r="F33" i="33"/>
  <c r="H40" i="33"/>
  <c r="H35" i="33"/>
  <c r="H31" i="33"/>
  <c r="H33" i="33"/>
  <c r="F35" i="33"/>
  <c r="F32" i="33"/>
  <c r="F41" i="33"/>
  <c r="F28" i="33"/>
  <c r="F34" i="33"/>
  <c r="H41" i="33"/>
  <c r="F42" i="33"/>
  <c r="H42" i="33"/>
  <c r="H37" i="33"/>
  <c r="H43" i="33" l="1"/>
  <c r="F43" i="33"/>
  <c r="E12" i="36"/>
  <c r="F47" i="24"/>
  <c r="G46" i="24" s="1"/>
  <c r="D47" i="24"/>
  <c r="E46" i="24" s="1"/>
  <c r="F10" i="36" l="1"/>
  <c r="F11" i="36"/>
  <c r="F9" i="36"/>
  <c r="F8" i="36"/>
  <c r="E31" i="24"/>
  <c r="E35" i="24"/>
  <c r="E39" i="24"/>
  <c r="E43" i="24"/>
  <c r="G35" i="24"/>
  <c r="G44" i="24"/>
  <c r="G31" i="24"/>
  <c r="G39" i="24"/>
  <c r="G43" i="24"/>
  <c r="G32" i="24"/>
  <c r="G36" i="24"/>
  <c r="G40" i="24"/>
  <c r="G33" i="24"/>
  <c r="G37" i="24"/>
  <c r="G41" i="24"/>
  <c r="G45" i="24"/>
  <c r="G34" i="24"/>
  <c r="G38" i="24"/>
  <c r="G42" i="24"/>
  <c r="E33" i="24"/>
  <c r="E37" i="24"/>
  <c r="E41" i="24"/>
  <c r="E45" i="24"/>
  <c r="E32" i="24"/>
  <c r="E36" i="24"/>
  <c r="E40" i="24"/>
  <c r="E44" i="24"/>
  <c r="E34" i="24"/>
  <c r="E38" i="24"/>
  <c r="E42" i="24"/>
  <c r="F12" i="36" l="1"/>
  <c r="M31" i="20"/>
  <c r="N30" i="20" s="1"/>
  <c r="K31" i="20"/>
  <c r="L27" i="20" s="1"/>
  <c r="N23" i="20" l="1"/>
  <c r="L25" i="20"/>
  <c r="N28" i="20"/>
  <c r="L24" i="20"/>
  <c r="L28" i="20"/>
  <c r="N27" i="20"/>
  <c r="N24" i="20"/>
  <c r="L22" i="20"/>
  <c r="L26" i="20"/>
  <c r="L30" i="20"/>
  <c r="N25" i="20"/>
  <c r="N29" i="20"/>
  <c r="L29" i="20"/>
  <c r="L23" i="20"/>
  <c r="N22" i="20"/>
  <c r="N26" i="20"/>
  <c r="D37" i="22"/>
  <c r="C37" i="22"/>
  <c r="E6" i="22" l="1"/>
  <c r="N31" i="20"/>
  <c r="L31" i="20"/>
  <c r="E37" i="21"/>
  <c r="D37" i="21"/>
  <c r="C37" i="21"/>
  <c r="E37" i="22" l="1"/>
  <c r="E32" i="19"/>
  <c r="F32" i="19" s="1"/>
  <c r="G32" i="19" s="1"/>
  <c r="E31" i="19"/>
  <c r="F31" i="19" s="1"/>
  <c r="G31" i="19" s="1"/>
  <c r="E30" i="19"/>
  <c r="F30" i="19" s="1"/>
  <c r="G30" i="19" s="1"/>
  <c r="E29" i="19"/>
  <c r="F29" i="19" s="1"/>
  <c r="G29" i="19" s="1"/>
  <c r="E28" i="19"/>
  <c r="F28" i="19" s="1"/>
  <c r="G28" i="19" s="1"/>
  <c r="E27" i="19"/>
  <c r="F27" i="19" s="1"/>
  <c r="G27" i="19" s="1"/>
  <c r="E26" i="19"/>
  <c r="F26" i="19" s="1"/>
  <c r="G26" i="19" s="1"/>
  <c r="E25" i="19"/>
  <c r="F25" i="19" s="1"/>
  <c r="G25" i="19" s="1"/>
  <c r="E24" i="19"/>
  <c r="F24" i="19" s="1"/>
  <c r="G24" i="19" s="1"/>
  <c r="E23" i="19"/>
  <c r="F23" i="19" s="1"/>
  <c r="G23" i="19" s="1"/>
  <c r="E22" i="19"/>
  <c r="F22" i="19" s="1"/>
  <c r="G22" i="19" s="1"/>
  <c r="E21" i="19"/>
  <c r="F21" i="19" s="1"/>
  <c r="G21" i="19" s="1"/>
  <c r="E20" i="19"/>
  <c r="F20" i="19" s="1"/>
  <c r="G20" i="19" s="1"/>
  <c r="E19" i="19"/>
  <c r="F19" i="19" s="1"/>
  <c r="G19" i="19" s="1"/>
  <c r="E18" i="19"/>
  <c r="F18" i="19" s="1"/>
  <c r="G18" i="19" s="1"/>
  <c r="E17" i="19"/>
  <c r="F17" i="19" s="1"/>
  <c r="G17" i="19" s="1"/>
  <c r="E16" i="19"/>
  <c r="F16" i="19" s="1"/>
  <c r="G16" i="19" s="1"/>
  <c r="E15" i="19"/>
  <c r="F15" i="19" s="1"/>
  <c r="G15" i="19" s="1"/>
  <c r="E14" i="19"/>
  <c r="F14" i="19" s="1"/>
  <c r="G14" i="19" s="1"/>
  <c r="E13" i="19"/>
  <c r="F13" i="19" s="1"/>
  <c r="G13" i="19" s="1"/>
  <c r="E12" i="19"/>
  <c r="F12" i="19" s="1"/>
  <c r="G12" i="19" s="1"/>
  <c r="E11" i="19"/>
  <c r="F11" i="19" s="1"/>
  <c r="G11" i="19" s="1"/>
  <c r="E10" i="19"/>
  <c r="F10" i="19" s="1"/>
  <c r="G10" i="19" s="1"/>
  <c r="E9" i="19"/>
  <c r="F9" i="19" s="1"/>
  <c r="G9" i="19" s="1"/>
  <c r="E8" i="19"/>
  <c r="F8" i="19" s="1"/>
  <c r="G8" i="19" s="1"/>
  <c r="E7" i="19"/>
  <c r="F7" i="19" s="1"/>
  <c r="G7" i="19" s="1"/>
  <c r="I22" i="10" l="1"/>
  <c r="I21" i="10"/>
  <c r="I24" i="10"/>
  <c r="D14" i="34"/>
  <c r="E14" i="34" l="1"/>
  <c r="I18" i="10"/>
  <c r="C6" i="10"/>
  <c r="L38" i="17" l="1"/>
  <c r="Q53" i="31" l="1"/>
  <c r="Q52" i="31"/>
  <c r="N53" i="31"/>
  <c r="L61" i="31"/>
  <c r="E83" i="33" l="1"/>
  <c r="E63" i="33"/>
  <c r="F60" i="33" s="1"/>
  <c r="G23" i="33"/>
  <c r="E23" i="33"/>
  <c r="F62" i="33" l="1"/>
  <c r="G63" i="33"/>
  <c r="H55" i="33" s="1"/>
  <c r="F70" i="33"/>
  <c r="F76" i="33"/>
  <c r="F74" i="33"/>
  <c r="F80" i="33"/>
  <c r="F20" i="33" s="1"/>
  <c r="H62" i="33"/>
  <c r="F69" i="33"/>
  <c r="F71" i="33"/>
  <c r="F73" i="33"/>
  <c r="F75" i="33"/>
  <c r="F77" i="33"/>
  <c r="F79" i="33"/>
  <c r="F81" i="33"/>
  <c r="F72" i="33"/>
  <c r="F78" i="33"/>
  <c r="F82" i="33"/>
  <c r="H60" i="33"/>
  <c r="H58" i="33"/>
  <c r="H53" i="33"/>
  <c r="H59" i="33"/>
  <c r="H54" i="33"/>
  <c r="H52" i="33"/>
  <c r="H50" i="33"/>
  <c r="H56" i="33"/>
  <c r="H49" i="33"/>
  <c r="F61" i="33"/>
  <c r="F68" i="33"/>
  <c r="F48" i="33"/>
  <c r="F8" i="33" s="1"/>
  <c r="F49" i="33"/>
  <c r="F50" i="33"/>
  <c r="F10" i="33" s="1"/>
  <c r="F51" i="33"/>
  <c r="F52" i="33"/>
  <c r="F12" i="33" s="1"/>
  <c r="F53" i="33"/>
  <c r="F13" i="33" s="1"/>
  <c r="F54" i="33"/>
  <c r="F14" i="33" s="1"/>
  <c r="F55" i="33"/>
  <c r="F56" i="33"/>
  <c r="F57" i="33"/>
  <c r="F58" i="33"/>
  <c r="F59" i="33"/>
  <c r="F19" i="33" s="1"/>
  <c r="G83" i="33"/>
  <c r="H70" i="33" s="1"/>
  <c r="F17" i="33" l="1"/>
  <c r="F18" i="33"/>
  <c r="F21" i="33"/>
  <c r="F9" i="33"/>
  <c r="H9" i="33"/>
  <c r="F16" i="33"/>
  <c r="F22" i="33"/>
  <c r="F11" i="33"/>
  <c r="F15" i="33"/>
  <c r="H10" i="33"/>
  <c r="H48" i="33"/>
  <c r="H51" i="33"/>
  <c r="H73" i="33"/>
  <c r="H13" i="33" s="1"/>
  <c r="H74" i="33"/>
  <c r="H14" i="33" s="1"/>
  <c r="H61" i="33"/>
  <c r="H21" i="33" s="1"/>
  <c r="H57" i="33"/>
  <c r="H79" i="33"/>
  <c r="H19" i="33" s="1"/>
  <c r="H71" i="33"/>
  <c r="H80" i="33"/>
  <c r="H20" i="33" s="1"/>
  <c r="H72" i="33"/>
  <c r="H12" i="33" s="1"/>
  <c r="F63" i="33"/>
  <c r="H77" i="33"/>
  <c r="H69" i="33"/>
  <c r="H78" i="33"/>
  <c r="H18" i="33" s="1"/>
  <c r="H82" i="33"/>
  <c r="H22" i="33" s="1"/>
  <c r="H81" i="33"/>
  <c r="F83" i="33"/>
  <c r="H75" i="33"/>
  <c r="H15" i="33" s="1"/>
  <c r="H76" i="33"/>
  <c r="H16" i="33" s="1"/>
  <c r="H68" i="33"/>
  <c r="H11" i="33" l="1"/>
  <c r="H17" i="33"/>
  <c r="H8" i="33"/>
  <c r="I14" i="33"/>
  <c r="J14" i="33" s="1"/>
  <c r="H63" i="33"/>
  <c r="I18" i="33"/>
  <c r="I10" i="33"/>
  <c r="J10" i="33" s="1"/>
  <c r="I17" i="33"/>
  <c r="I20" i="33"/>
  <c r="I21" i="33"/>
  <c r="I12" i="33"/>
  <c r="I9" i="33"/>
  <c r="J9" i="33" s="1"/>
  <c r="I11" i="33"/>
  <c r="I16" i="33"/>
  <c r="J16" i="33" s="1"/>
  <c r="I22" i="33"/>
  <c r="J22" i="33" s="1"/>
  <c r="L34" i="10" s="1"/>
  <c r="I13" i="33"/>
  <c r="I19" i="33"/>
  <c r="H83" i="33"/>
  <c r="F23" i="33"/>
  <c r="I15" i="33"/>
  <c r="J15" i="33" s="1"/>
  <c r="L22" i="10" s="1"/>
  <c r="H23" i="33"/>
  <c r="J21" i="33" l="1"/>
  <c r="L29" i="10" s="1"/>
  <c r="J18" i="33"/>
  <c r="L25" i="10" s="1"/>
  <c r="J19" i="33"/>
  <c r="L27" i="10" s="1"/>
  <c r="J11" i="33"/>
  <c r="L19" i="10" s="1"/>
  <c r="J20" i="33"/>
  <c r="L28" i="10" s="1"/>
  <c r="J12" i="33"/>
  <c r="L20" i="10" s="1"/>
  <c r="J13" i="33"/>
  <c r="L21" i="10" s="1"/>
  <c r="J17" i="33"/>
  <c r="L24" i="10" s="1"/>
  <c r="I8" i="33"/>
  <c r="J8" i="33" s="1"/>
  <c r="L18" i="10" s="1"/>
  <c r="I23" i="33" l="1"/>
  <c r="J23" i="33"/>
  <c r="L44" i="10"/>
  <c r="E29" i="27" l="1"/>
  <c r="G29" i="27"/>
  <c r="H29" i="27"/>
  <c r="I14" i="27"/>
  <c r="J14" i="27" s="1"/>
  <c r="I17" i="27"/>
  <c r="J17" i="27" s="1"/>
  <c r="I15" i="27"/>
  <c r="J15" i="27" s="1"/>
  <c r="I16" i="27"/>
  <c r="J16" i="27" s="1"/>
  <c r="I18" i="27"/>
  <c r="J18" i="27" s="1"/>
  <c r="I19" i="27"/>
  <c r="J19" i="27" s="1"/>
  <c r="I20" i="27"/>
  <c r="J20" i="27" s="1"/>
  <c r="I21" i="27"/>
  <c r="J21" i="27" s="1"/>
  <c r="I22" i="27"/>
  <c r="J22" i="27" s="1"/>
  <c r="I23" i="27"/>
  <c r="J23" i="27" s="1"/>
  <c r="I24" i="27"/>
  <c r="J24" i="27" s="1"/>
  <c r="I25" i="27"/>
  <c r="J25" i="27" s="1"/>
  <c r="I26" i="27"/>
  <c r="J26" i="27" s="1"/>
  <c r="I27" i="27"/>
  <c r="J27" i="27" s="1"/>
  <c r="I28" i="27"/>
  <c r="J28" i="27" s="1"/>
  <c r="F29" i="27"/>
  <c r="I13" i="27"/>
  <c r="J13" i="27" s="1"/>
  <c r="I29" i="27" l="1"/>
  <c r="J29" i="27"/>
  <c r="S39" i="18" l="1"/>
  <c r="T38" i="18" s="1"/>
  <c r="Q39" i="18"/>
  <c r="R37" i="18" s="1"/>
  <c r="T35" i="18"/>
  <c r="S32" i="18"/>
  <c r="T30" i="18" s="1"/>
  <c r="Q32" i="18"/>
  <c r="R29" i="18" s="1"/>
  <c r="F32" i="18"/>
  <c r="E32" i="18"/>
  <c r="T31" i="18"/>
  <c r="G31" i="18"/>
  <c r="G30" i="18"/>
  <c r="G29" i="18"/>
  <c r="G28" i="18"/>
  <c r="G27" i="18"/>
  <c r="S25" i="18"/>
  <c r="T23" i="18" s="1"/>
  <c r="Q25" i="18"/>
  <c r="R24" i="18" s="1"/>
  <c r="F25" i="18"/>
  <c r="E25" i="18"/>
  <c r="G24" i="18"/>
  <c r="G23" i="18"/>
  <c r="G22" i="18"/>
  <c r="G21" i="18"/>
  <c r="G20" i="18"/>
  <c r="P18" i="18"/>
  <c r="M18" i="18"/>
  <c r="N16" i="18" s="1"/>
  <c r="N9" i="18" s="1"/>
  <c r="L18" i="18"/>
  <c r="K18" i="18"/>
  <c r="I18" i="18"/>
  <c r="J17" i="18" s="1"/>
  <c r="J10" i="18" s="1"/>
  <c r="F18" i="18"/>
  <c r="E18" i="18"/>
  <c r="C18" i="18"/>
  <c r="D17" i="18" s="1"/>
  <c r="D10" i="18" s="1"/>
  <c r="G17" i="18"/>
  <c r="G16" i="18"/>
  <c r="G15" i="18"/>
  <c r="G14" i="18"/>
  <c r="G13" i="18"/>
  <c r="P10" i="18"/>
  <c r="L10" i="18"/>
  <c r="P9" i="18"/>
  <c r="L9" i="18"/>
  <c r="P8" i="18"/>
  <c r="L8" i="18"/>
  <c r="P7" i="18"/>
  <c r="L7" i="18"/>
  <c r="P6" i="18"/>
  <c r="L6" i="18"/>
  <c r="U3" i="18"/>
  <c r="S89" i="17"/>
  <c r="T88" i="17" s="1"/>
  <c r="Q89" i="17"/>
  <c r="R87" i="17" s="1"/>
  <c r="S72" i="17"/>
  <c r="T71" i="17" s="1"/>
  <c r="Q72" i="17"/>
  <c r="R71" i="17" s="1"/>
  <c r="F72" i="17"/>
  <c r="E72" i="17"/>
  <c r="G71" i="17"/>
  <c r="G70" i="17"/>
  <c r="G69" i="17"/>
  <c r="G68" i="17"/>
  <c r="G67" i="17"/>
  <c r="G66" i="17"/>
  <c r="G65" i="17"/>
  <c r="G64" i="17"/>
  <c r="G63" i="17"/>
  <c r="G62" i="17"/>
  <c r="G61" i="17"/>
  <c r="G60" i="17"/>
  <c r="G59" i="17"/>
  <c r="G58" i="17"/>
  <c r="G57" i="17"/>
  <c r="S55" i="17"/>
  <c r="T54" i="17" s="1"/>
  <c r="Q55" i="17"/>
  <c r="R53" i="17" s="1"/>
  <c r="F55" i="17"/>
  <c r="E55" i="17"/>
  <c r="G54" i="17"/>
  <c r="G53" i="17"/>
  <c r="G52" i="17"/>
  <c r="G51" i="17"/>
  <c r="G50" i="17"/>
  <c r="G49" i="17"/>
  <c r="G48" i="17"/>
  <c r="G47" i="17"/>
  <c r="G46" i="17"/>
  <c r="G45" i="17"/>
  <c r="G44" i="17"/>
  <c r="G43" i="17"/>
  <c r="G42" i="17"/>
  <c r="G41" i="17"/>
  <c r="G40" i="17"/>
  <c r="P38" i="17"/>
  <c r="O38" i="17"/>
  <c r="M38" i="17"/>
  <c r="N37" i="17" s="1"/>
  <c r="N20" i="17" s="1"/>
  <c r="I38" i="17"/>
  <c r="J37" i="17" s="1"/>
  <c r="J20" i="17" s="1"/>
  <c r="F38" i="17"/>
  <c r="E38" i="17"/>
  <c r="C38" i="17"/>
  <c r="D36" i="17" s="1"/>
  <c r="D19" i="17" s="1"/>
  <c r="G37" i="17"/>
  <c r="G36" i="17"/>
  <c r="G35" i="17"/>
  <c r="G34" i="17"/>
  <c r="G33" i="17"/>
  <c r="G32" i="17"/>
  <c r="G31" i="17"/>
  <c r="G30" i="17"/>
  <c r="G29" i="17"/>
  <c r="D29" i="17"/>
  <c r="D12" i="17" s="1"/>
  <c r="G28" i="17"/>
  <c r="G27" i="17"/>
  <c r="G26" i="17"/>
  <c r="G25" i="17"/>
  <c r="G24" i="17"/>
  <c r="G23" i="17"/>
  <c r="P20" i="17"/>
  <c r="L20" i="17"/>
  <c r="P19" i="17"/>
  <c r="L19" i="17"/>
  <c r="P18" i="17"/>
  <c r="L18" i="17"/>
  <c r="P17" i="17"/>
  <c r="L17" i="17"/>
  <c r="P16" i="17"/>
  <c r="L16" i="17"/>
  <c r="P15" i="17"/>
  <c r="L15" i="17"/>
  <c r="P14" i="17"/>
  <c r="L14" i="17"/>
  <c r="P13" i="17"/>
  <c r="L13" i="17"/>
  <c r="P12" i="17"/>
  <c r="L12" i="17"/>
  <c r="P11" i="17"/>
  <c r="L11" i="17"/>
  <c r="P10" i="17"/>
  <c r="L10" i="17"/>
  <c r="P9" i="17"/>
  <c r="L9" i="17"/>
  <c r="P8" i="17"/>
  <c r="L8" i="17"/>
  <c r="P7" i="17"/>
  <c r="L7" i="17"/>
  <c r="P6" i="17"/>
  <c r="L6" i="17"/>
  <c r="U3" i="17"/>
  <c r="E20" i="16"/>
  <c r="F19" i="16" s="1"/>
  <c r="E16" i="16"/>
  <c r="F14" i="16" s="1"/>
  <c r="G12" i="16"/>
  <c r="H11" i="16" s="1"/>
  <c r="H7" i="16" s="1"/>
  <c r="E12" i="16"/>
  <c r="F10" i="16" s="1"/>
  <c r="C12" i="16"/>
  <c r="D11" i="16" s="1"/>
  <c r="D7" i="16" s="1"/>
  <c r="I3" i="16"/>
  <c r="O34" i="15"/>
  <c r="P33" i="15" s="1"/>
  <c r="P30" i="15"/>
  <c r="O28" i="15"/>
  <c r="P27" i="15" s="1"/>
  <c r="D28" i="15"/>
  <c r="C28" i="15"/>
  <c r="E27" i="15"/>
  <c r="E26" i="15"/>
  <c r="E25" i="15"/>
  <c r="E24" i="15"/>
  <c r="O22" i="15"/>
  <c r="P21" i="15" s="1"/>
  <c r="D22" i="15"/>
  <c r="C22" i="15"/>
  <c r="E21" i="15"/>
  <c r="E20" i="15"/>
  <c r="E19" i="15"/>
  <c r="E18" i="15"/>
  <c r="N16" i="15"/>
  <c r="K16" i="15"/>
  <c r="L15" i="15" s="1"/>
  <c r="L9" i="15" s="1"/>
  <c r="J16" i="15"/>
  <c r="G16" i="15"/>
  <c r="H15" i="15" s="1"/>
  <c r="H9" i="15" s="1"/>
  <c r="D16" i="15"/>
  <c r="C16" i="15"/>
  <c r="E15" i="15"/>
  <c r="E14" i="15"/>
  <c r="E13" i="15"/>
  <c r="E12" i="15"/>
  <c r="N9" i="15"/>
  <c r="J9" i="15"/>
  <c r="N8" i="15"/>
  <c r="J8" i="15"/>
  <c r="N7" i="15"/>
  <c r="J7" i="15"/>
  <c r="N6" i="15"/>
  <c r="J6" i="15"/>
  <c r="Q3" i="15"/>
  <c r="N15" i="18" l="1"/>
  <c r="N8" i="18" s="1"/>
  <c r="D23" i="17"/>
  <c r="D6" i="17" s="1"/>
  <c r="D32" i="17"/>
  <c r="D15" i="17" s="1"/>
  <c r="D24" i="17"/>
  <c r="D7" i="17" s="1"/>
  <c r="D33" i="17"/>
  <c r="D16" i="17" s="1"/>
  <c r="D27" i="17"/>
  <c r="D10" i="17" s="1"/>
  <c r="D35" i="17"/>
  <c r="D18" i="17" s="1"/>
  <c r="R36" i="18"/>
  <c r="D28" i="17"/>
  <c r="D11" i="17" s="1"/>
  <c r="N28" i="17"/>
  <c r="N11" i="17" s="1"/>
  <c r="P31" i="15"/>
  <c r="D30" i="17"/>
  <c r="D13" i="17" s="1"/>
  <c r="D25" i="17"/>
  <c r="D8" i="17" s="1"/>
  <c r="N36" i="17"/>
  <c r="N19" i="17" s="1"/>
  <c r="T81" i="17"/>
  <c r="D31" i="17"/>
  <c r="D14" i="17" s="1"/>
  <c r="D37" i="17"/>
  <c r="D20" i="17" s="1"/>
  <c r="D26" i="17"/>
  <c r="D9" i="17" s="1"/>
  <c r="T27" i="18"/>
  <c r="N31" i="17"/>
  <c r="N14" i="17" s="1"/>
  <c r="N23" i="17"/>
  <c r="N6" i="17" s="1"/>
  <c r="T76" i="17"/>
  <c r="R77" i="17"/>
  <c r="R79" i="17"/>
  <c r="R57" i="17"/>
  <c r="R35" i="18"/>
  <c r="R28" i="18"/>
  <c r="R31" i="18"/>
  <c r="R27" i="18"/>
  <c r="D14" i="18"/>
  <c r="D7" i="18" s="1"/>
  <c r="D16" i="18"/>
  <c r="D9" i="18" s="1"/>
  <c r="D13" i="18"/>
  <c r="D6" i="18" s="1"/>
  <c r="D34" i="17"/>
  <c r="D17" i="17" s="1"/>
  <c r="N27" i="17"/>
  <c r="N10" i="17" s="1"/>
  <c r="N35" i="17"/>
  <c r="N18" i="17" s="1"/>
  <c r="N24" i="17"/>
  <c r="N7" i="17" s="1"/>
  <c r="N32" i="17"/>
  <c r="N15" i="17" s="1"/>
  <c r="J23" i="17"/>
  <c r="J6" i="17" s="1"/>
  <c r="G38" i="17"/>
  <c r="H29" i="17" s="1"/>
  <c r="T29" i="18"/>
  <c r="T28" i="18"/>
  <c r="T32" i="18" s="1"/>
  <c r="T37" i="18"/>
  <c r="T9" i="18" s="1"/>
  <c r="R38" i="18"/>
  <c r="R34" i="18"/>
  <c r="R30" i="18"/>
  <c r="R21" i="18"/>
  <c r="R23" i="18"/>
  <c r="R20" i="18"/>
  <c r="R22" i="18"/>
  <c r="P11" i="18"/>
  <c r="N17" i="18"/>
  <c r="N10" i="18" s="1"/>
  <c r="N14" i="18"/>
  <c r="N7" i="18" s="1"/>
  <c r="N13" i="18"/>
  <c r="D15" i="18"/>
  <c r="D8" i="18" s="1"/>
  <c r="T85" i="17"/>
  <c r="T86" i="17"/>
  <c r="T79" i="17"/>
  <c r="T74" i="17"/>
  <c r="T78" i="17"/>
  <c r="T82" i="17"/>
  <c r="T87" i="17"/>
  <c r="T75" i="17"/>
  <c r="T83" i="17"/>
  <c r="R75" i="17"/>
  <c r="R58" i="17"/>
  <c r="R60" i="17"/>
  <c r="R62" i="17"/>
  <c r="R64" i="17"/>
  <c r="R66" i="17"/>
  <c r="R68" i="17"/>
  <c r="R70" i="17"/>
  <c r="R19" i="17" s="1"/>
  <c r="R59" i="17"/>
  <c r="R61" i="17"/>
  <c r="R63" i="17"/>
  <c r="R65" i="17"/>
  <c r="R67" i="17"/>
  <c r="R69" i="17"/>
  <c r="R40" i="17"/>
  <c r="R42" i="17"/>
  <c r="R44" i="17"/>
  <c r="R46" i="17"/>
  <c r="R48" i="17"/>
  <c r="R50" i="17"/>
  <c r="R52" i="17"/>
  <c r="R54" i="17"/>
  <c r="R41" i="17"/>
  <c r="R43" i="17"/>
  <c r="R45" i="17"/>
  <c r="R47" i="17"/>
  <c r="R49" i="17"/>
  <c r="R51" i="17"/>
  <c r="P21" i="17"/>
  <c r="N26" i="17"/>
  <c r="N9" i="17" s="1"/>
  <c r="N30" i="17"/>
  <c r="N13" i="17" s="1"/>
  <c r="N34" i="17"/>
  <c r="N17" i="17" s="1"/>
  <c r="N25" i="17"/>
  <c r="N8" i="17" s="1"/>
  <c r="N29" i="17"/>
  <c r="N12" i="17" s="1"/>
  <c r="N33" i="17"/>
  <c r="N16" i="17" s="1"/>
  <c r="J24" i="17"/>
  <c r="J7" i="17" s="1"/>
  <c r="J25" i="17"/>
  <c r="J8" i="17" s="1"/>
  <c r="J26" i="17"/>
  <c r="J9" i="17" s="1"/>
  <c r="J27" i="17"/>
  <c r="J10" i="17" s="1"/>
  <c r="J28" i="17"/>
  <c r="J11" i="17" s="1"/>
  <c r="J29" i="17"/>
  <c r="J12" i="17" s="1"/>
  <c r="J30" i="17"/>
  <c r="J13" i="17" s="1"/>
  <c r="J31" i="17"/>
  <c r="J14" i="17" s="1"/>
  <c r="J32" i="17"/>
  <c r="J15" i="17" s="1"/>
  <c r="J33" i="17"/>
  <c r="J16" i="17" s="1"/>
  <c r="J34" i="17"/>
  <c r="J17" i="17" s="1"/>
  <c r="J35" i="17"/>
  <c r="J18" i="17" s="1"/>
  <c r="J36" i="17"/>
  <c r="J19" i="17" s="1"/>
  <c r="H10" i="16"/>
  <c r="H12" i="16" s="1"/>
  <c r="F15" i="16"/>
  <c r="F16" i="16" s="1"/>
  <c r="D10" i="16"/>
  <c r="D12" i="16" s="1"/>
  <c r="P26" i="15"/>
  <c r="L14" i="15"/>
  <c r="L8" i="15" s="1"/>
  <c r="L12" i="15"/>
  <c r="L13" i="15"/>
  <c r="L7" i="15" s="1"/>
  <c r="E16" i="15"/>
  <c r="F13" i="15" s="1"/>
  <c r="J10" i="15"/>
  <c r="P18" i="15"/>
  <c r="P20" i="15"/>
  <c r="P32" i="15"/>
  <c r="P34" i="15" s="1"/>
  <c r="P9" i="15"/>
  <c r="N10" i="15"/>
  <c r="P19" i="15"/>
  <c r="E28" i="15"/>
  <c r="F25" i="15" s="1"/>
  <c r="F11" i="16"/>
  <c r="F12" i="16" s="1"/>
  <c r="F18" i="16"/>
  <c r="F20" i="16" s="1"/>
  <c r="G72" i="17"/>
  <c r="H63" i="17" s="1"/>
  <c r="T77" i="17"/>
  <c r="T80" i="17"/>
  <c r="T84" i="17"/>
  <c r="L21" i="17"/>
  <c r="G55" i="17"/>
  <c r="H41" i="17" s="1"/>
  <c r="T20" i="17"/>
  <c r="T21" i="18"/>
  <c r="T34" i="18"/>
  <c r="T36" i="18"/>
  <c r="L11" i="18"/>
  <c r="T22" i="18"/>
  <c r="N6" i="18"/>
  <c r="G18" i="18"/>
  <c r="H13" i="18" s="1"/>
  <c r="J13" i="18"/>
  <c r="J14" i="18"/>
  <c r="J7" i="18" s="1"/>
  <c r="J15" i="18"/>
  <c r="J8" i="18" s="1"/>
  <c r="J16" i="18"/>
  <c r="J9" i="18" s="1"/>
  <c r="T20" i="18"/>
  <c r="T24" i="18"/>
  <c r="T10" i="18" s="1"/>
  <c r="G25" i="18"/>
  <c r="H24" i="18" s="1"/>
  <c r="G32" i="18"/>
  <c r="H33" i="17"/>
  <c r="H35" i="17"/>
  <c r="T40" i="17"/>
  <c r="T41" i="17"/>
  <c r="T42" i="17"/>
  <c r="T43" i="17"/>
  <c r="T44" i="17"/>
  <c r="T45" i="17"/>
  <c r="T46" i="17"/>
  <c r="T47" i="17"/>
  <c r="T48" i="17"/>
  <c r="T49" i="17"/>
  <c r="T50" i="17"/>
  <c r="T51" i="17"/>
  <c r="T52" i="17"/>
  <c r="T53" i="17"/>
  <c r="T57" i="17"/>
  <c r="T58" i="17"/>
  <c r="T59" i="17"/>
  <c r="T60" i="17"/>
  <c r="T61" i="17"/>
  <c r="T62" i="17"/>
  <c r="T63" i="17"/>
  <c r="T64" i="17"/>
  <c r="T65" i="17"/>
  <c r="T66" i="17"/>
  <c r="T67" i="17"/>
  <c r="T68" i="17"/>
  <c r="T69" i="17"/>
  <c r="T70" i="17"/>
  <c r="R85" i="17"/>
  <c r="R74" i="17"/>
  <c r="R76" i="17"/>
  <c r="R78" i="17"/>
  <c r="R80" i="17"/>
  <c r="R82" i="17"/>
  <c r="R84" i="17"/>
  <c r="R86" i="17"/>
  <c r="R88" i="17"/>
  <c r="R81" i="17"/>
  <c r="R83" i="17"/>
  <c r="F15" i="15"/>
  <c r="F14" i="15"/>
  <c r="E22" i="15"/>
  <c r="F21" i="15" s="1"/>
  <c r="P25" i="15"/>
  <c r="H12" i="15"/>
  <c r="H13" i="15"/>
  <c r="H7" i="15" s="1"/>
  <c r="H14" i="15"/>
  <c r="H8" i="15" s="1"/>
  <c r="P24" i="15"/>
  <c r="T7" i="18" l="1"/>
  <c r="R32" i="18"/>
  <c r="D21" i="17"/>
  <c r="R8" i="18"/>
  <c r="R6" i="18"/>
  <c r="R9" i="18"/>
  <c r="N11" i="18"/>
  <c r="H37" i="17"/>
  <c r="H34" i="17"/>
  <c r="R10" i="18"/>
  <c r="D38" i="17"/>
  <c r="R20" i="17"/>
  <c r="H32" i="17"/>
  <c r="D11" i="18"/>
  <c r="R14" i="17"/>
  <c r="H26" i="17"/>
  <c r="H24" i="17"/>
  <c r="J21" i="17"/>
  <c r="R72" i="17"/>
  <c r="R11" i="17"/>
  <c r="R55" i="17"/>
  <c r="H6" i="16"/>
  <c r="H8" i="16" s="1"/>
  <c r="F7" i="16"/>
  <c r="I7" i="16" s="1" a="1"/>
  <c r="I7" i="16" s="1"/>
  <c r="J7" i="16" s="1"/>
  <c r="R7" i="18"/>
  <c r="R11" i="18" s="1"/>
  <c r="H31" i="17"/>
  <c r="J38" i="17"/>
  <c r="P8" i="15"/>
  <c r="R7" i="17"/>
  <c r="R12" i="17"/>
  <c r="R18" i="17"/>
  <c r="R10" i="17"/>
  <c r="R9" i="17"/>
  <c r="R17" i="17"/>
  <c r="R15" i="17"/>
  <c r="R39" i="18"/>
  <c r="R25" i="18"/>
  <c r="D18" i="18"/>
  <c r="N18" i="18"/>
  <c r="N21" i="17"/>
  <c r="N38" i="17"/>
  <c r="D6" i="16"/>
  <c r="D8" i="16" s="1"/>
  <c r="H62" i="17"/>
  <c r="H60" i="17"/>
  <c r="H61" i="17"/>
  <c r="H70" i="17"/>
  <c r="H68" i="17"/>
  <c r="H30" i="17"/>
  <c r="H23" i="17"/>
  <c r="H25" i="17"/>
  <c r="H36" i="17"/>
  <c r="H28" i="17"/>
  <c r="H27" i="17"/>
  <c r="F12" i="15"/>
  <c r="F16" i="15" s="1"/>
  <c r="H20" i="18"/>
  <c r="H21" i="18"/>
  <c r="H23" i="18"/>
  <c r="H17" i="18"/>
  <c r="H14" i="18"/>
  <c r="H16" i="18"/>
  <c r="T89" i="17"/>
  <c r="R8" i="17"/>
  <c r="R16" i="17"/>
  <c r="R13" i="17"/>
  <c r="H66" i="17"/>
  <c r="H58" i="17"/>
  <c r="H64" i="17"/>
  <c r="H69" i="17"/>
  <c r="H54" i="17"/>
  <c r="H45" i="17"/>
  <c r="H44" i="17"/>
  <c r="H52" i="17"/>
  <c r="H18" i="17" s="1"/>
  <c r="H53" i="17"/>
  <c r="H46" i="17"/>
  <c r="H12" i="17" s="1"/>
  <c r="P7" i="15"/>
  <c r="L16" i="15"/>
  <c r="L6" i="15"/>
  <c r="L10" i="15" s="1"/>
  <c r="F24" i="15"/>
  <c r="F28" i="15" s="1"/>
  <c r="F19" i="15"/>
  <c r="F7" i="15" s="1"/>
  <c r="F27" i="15"/>
  <c r="F9" i="15" s="1"/>
  <c r="Q9" i="15" s="1" a="1"/>
  <c r="Q9" i="15" s="1"/>
  <c r="R9" i="15" s="1"/>
  <c r="F26" i="15"/>
  <c r="P22" i="15"/>
  <c r="F6" i="16"/>
  <c r="H50" i="17"/>
  <c r="H42" i="17"/>
  <c r="H49" i="17"/>
  <c r="H67" i="17"/>
  <c r="H59" i="17"/>
  <c r="H51" i="17"/>
  <c r="T17" i="17"/>
  <c r="T13" i="17"/>
  <c r="T9" i="17"/>
  <c r="H48" i="17"/>
  <c r="H40" i="17"/>
  <c r="H43" i="17"/>
  <c r="H65" i="17"/>
  <c r="H57" i="17"/>
  <c r="H47" i="17"/>
  <c r="R89" i="17"/>
  <c r="T16" i="17"/>
  <c r="T12" i="17"/>
  <c r="T8" i="17"/>
  <c r="H71" i="17"/>
  <c r="T39" i="18"/>
  <c r="H15" i="18"/>
  <c r="H22" i="18"/>
  <c r="T8" i="18"/>
  <c r="J18" i="18"/>
  <c r="J6" i="18"/>
  <c r="J11" i="18" s="1"/>
  <c r="T25" i="18"/>
  <c r="T6" i="18"/>
  <c r="H31" i="18"/>
  <c r="H30" i="18"/>
  <c r="H29" i="18"/>
  <c r="H28" i="18"/>
  <c r="H27" i="18"/>
  <c r="T72" i="17"/>
  <c r="T19" i="17"/>
  <c r="T15" i="17"/>
  <c r="T11" i="17"/>
  <c r="T7" i="17"/>
  <c r="T18" i="17"/>
  <c r="T14" i="17"/>
  <c r="T10" i="17"/>
  <c r="T6" i="17"/>
  <c r="T55" i="17"/>
  <c r="R6" i="17"/>
  <c r="I6" i="16" a="1"/>
  <c r="I6" i="16" s="1"/>
  <c r="H6" i="15"/>
  <c r="H10" i="15" s="1"/>
  <c r="H16" i="15"/>
  <c r="F18" i="15"/>
  <c r="P28" i="15"/>
  <c r="P6" i="15"/>
  <c r="F20" i="15"/>
  <c r="F8" i="16" l="1"/>
  <c r="H9" i="18"/>
  <c r="U9" i="18" s="1" a="1"/>
  <c r="U9" i="18" s="1"/>
  <c r="V9" i="18" s="1"/>
  <c r="H17" i="17"/>
  <c r="U17" i="17" s="1" a="1"/>
  <c r="H15" i="17"/>
  <c r="H38" i="17"/>
  <c r="H9" i="17"/>
  <c r="U9" i="17" s="1" a="1"/>
  <c r="H25" i="18"/>
  <c r="H6" i="17"/>
  <c r="P10" i="15"/>
  <c r="H10" i="17"/>
  <c r="U10" i="17" s="1" a="1"/>
  <c r="U10" i="17" s="1"/>
  <c r="V10" i="17" s="1"/>
  <c r="H20" i="17"/>
  <c r="U20" i="17" s="1" a="1"/>
  <c r="U20" i="17" s="1"/>
  <c r="V20" i="17" s="1"/>
  <c r="H7" i="17"/>
  <c r="U7" i="17" s="1" a="1"/>
  <c r="U7" i="17" s="1"/>
  <c r="V7" i="17" s="1"/>
  <c r="T11" i="18"/>
  <c r="U12" i="17" a="1"/>
  <c r="U12" i="17" s="1"/>
  <c r="V12" i="17" s="1"/>
  <c r="U18" i="17" a="1"/>
  <c r="H11" i="17"/>
  <c r="U11" i="17" s="1" a="1"/>
  <c r="U11" i="17" s="1"/>
  <c r="V11" i="17" s="1"/>
  <c r="H10" i="18"/>
  <c r="U10" i="18" s="1" a="1"/>
  <c r="U10" i="18" s="1"/>
  <c r="V10" i="18" s="1"/>
  <c r="Q7" i="15" a="1"/>
  <c r="Q7" i="15" s="1"/>
  <c r="R7" i="15" s="1"/>
  <c r="H7" i="18"/>
  <c r="U7" i="18" s="1" a="1"/>
  <c r="U7" i="18" s="1"/>
  <c r="V7" i="18" s="1"/>
  <c r="H8" i="18"/>
  <c r="U8" i="18" s="1" a="1"/>
  <c r="U8" i="18" s="1"/>
  <c r="V8" i="18" s="1"/>
  <c r="U17" i="17"/>
  <c r="V17" i="17" s="1"/>
  <c r="R21" i="17"/>
  <c r="U18" i="17"/>
  <c r="V18" i="17" s="1"/>
  <c r="U9" i="17"/>
  <c r="V9" i="17" s="1"/>
  <c r="H18" i="18"/>
  <c r="H8" i="17"/>
  <c r="U8" i="17" s="1" a="1"/>
  <c r="U8" i="17" s="1"/>
  <c r="V8" i="17" s="1"/>
  <c r="H19" i="17"/>
  <c r="U19" i="17" s="1" a="1"/>
  <c r="U19" i="17" s="1"/>
  <c r="V19" i="17" s="1"/>
  <c r="H16" i="17"/>
  <c r="U16" i="17" s="1" a="1"/>
  <c r="U16" i="17" s="1"/>
  <c r="V16" i="17" s="1"/>
  <c r="H13" i="17"/>
  <c r="U13" i="17" s="1" a="1"/>
  <c r="U13" i="17" s="1"/>
  <c r="V13" i="17" s="1"/>
  <c r="H14" i="17"/>
  <c r="U14" i="17" s="1" a="1"/>
  <c r="U14" i="17" s="1"/>
  <c r="V14" i="17" s="1"/>
  <c r="F8" i="15"/>
  <c r="Q8" i="15" s="1" a="1"/>
  <c r="Q8" i="15" s="1"/>
  <c r="R8" i="15" s="1"/>
  <c r="U15" i="17" a="1"/>
  <c r="U15" i="17" s="1"/>
  <c r="V15" i="17" s="1"/>
  <c r="H72" i="17"/>
  <c r="H55" i="17"/>
  <c r="H32" i="18"/>
  <c r="H6" i="18"/>
  <c r="U6" i="17" a="1"/>
  <c r="U6" i="17" s="1"/>
  <c r="T21" i="17"/>
  <c r="I8" i="16"/>
  <c r="J6" i="16"/>
  <c r="J8" i="16" s="1"/>
  <c r="F22" i="15"/>
  <c r="F6" i="15"/>
  <c r="H21" i="17" l="1"/>
  <c r="H11" i="18"/>
  <c r="U6" i="18" a="1"/>
  <c r="U6" i="18" s="1"/>
  <c r="U21" i="17"/>
  <c r="V6" i="17"/>
  <c r="V21" i="17" s="1"/>
  <c r="Q6" i="15" a="1"/>
  <c r="Q6" i="15" s="1"/>
  <c r="F10" i="15"/>
  <c r="U11" i="18" l="1"/>
  <c r="V6" i="18"/>
  <c r="V11" i="18" s="1"/>
  <c r="Q10" i="15"/>
  <c r="R6" i="15"/>
  <c r="R10" i="15" s="1"/>
  <c r="I16" i="20" l="1"/>
  <c r="I15" i="20"/>
  <c r="I14" i="20"/>
  <c r="I13" i="20"/>
  <c r="I12" i="20"/>
  <c r="I11" i="20"/>
  <c r="I10" i="20"/>
  <c r="I9" i="20"/>
  <c r="I8" i="20"/>
  <c r="C33" i="26" l="1"/>
  <c r="C43" i="13"/>
  <c r="D7" i="13" s="1"/>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G37" i="19"/>
  <c r="C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M44" i="10"/>
  <c r="I44" i="10"/>
  <c r="E44" i="10"/>
  <c r="C44" i="10"/>
  <c r="F89" i="24"/>
  <c r="G88" i="24" s="1"/>
  <c r="D89" i="24"/>
  <c r="E88" i="24" s="1"/>
  <c r="F68" i="24"/>
  <c r="D68" i="24"/>
  <c r="F26" i="24"/>
  <c r="D26" i="24"/>
  <c r="M59" i="20"/>
  <c r="K59" i="20"/>
  <c r="L55" i="20" s="1"/>
  <c r="M45" i="20"/>
  <c r="N43" i="20" s="1"/>
  <c r="K45" i="20"/>
  <c r="L44" i="20" s="1"/>
  <c r="M17" i="20"/>
  <c r="K17" i="20"/>
  <c r="H17" i="20"/>
  <c r="E17" i="20"/>
  <c r="F16" i="20" s="1"/>
  <c r="O5" i="20"/>
  <c r="J55" i="31"/>
  <c r="Q51" i="31"/>
  <c r="N51" i="31"/>
  <c r="K51" i="31"/>
  <c r="J51" i="31"/>
  <c r="Q48" i="31"/>
  <c r="N48" i="31"/>
  <c r="K48" i="31"/>
  <c r="J48" i="31"/>
  <c r="Q47" i="31"/>
  <c r="N47" i="31"/>
  <c r="K47" i="31"/>
  <c r="J47" i="31"/>
  <c r="N46" i="31"/>
  <c r="K46" i="31"/>
  <c r="J46" i="31"/>
  <c r="Q44" i="31"/>
  <c r="N44" i="31"/>
  <c r="K44" i="31"/>
  <c r="J44" i="31"/>
  <c r="Q43" i="31"/>
  <c r="N43" i="31"/>
  <c r="K43" i="31"/>
  <c r="J43" i="31"/>
  <c r="O41" i="31"/>
  <c r="Q40" i="31"/>
  <c r="N40" i="31"/>
  <c r="K40" i="31"/>
  <c r="J40" i="31"/>
  <c r="Q39" i="31"/>
  <c r="N39" i="31"/>
  <c r="K39" i="31"/>
  <c r="J39" i="31"/>
  <c r="O38" i="31"/>
  <c r="L38" i="31"/>
  <c r="I38" i="31"/>
  <c r="H38" i="31"/>
  <c r="Q33" i="31"/>
  <c r="N33" i="31"/>
  <c r="K33" i="31"/>
  <c r="J33" i="31"/>
  <c r="Q32" i="31"/>
  <c r="N32" i="31"/>
  <c r="K32" i="31"/>
  <c r="J32" i="31"/>
  <c r="O35" i="31"/>
  <c r="L35" i="31"/>
  <c r="I35" i="31"/>
  <c r="H35" i="31"/>
  <c r="L28" i="31"/>
  <c r="I28" i="31"/>
  <c r="J28" i="31" s="1"/>
  <c r="H28" i="31"/>
  <c r="Q27" i="31"/>
  <c r="N27" i="31"/>
  <c r="K27" i="31"/>
  <c r="J27" i="31"/>
  <c r="Q26" i="31"/>
  <c r="N26" i="31"/>
  <c r="K26" i="31"/>
  <c r="J26" i="31"/>
  <c r="Q25" i="31"/>
  <c r="N25" i="31"/>
  <c r="K25" i="31"/>
  <c r="J25" i="31"/>
  <c r="N24" i="31"/>
  <c r="K24" i="31"/>
  <c r="J24" i="31"/>
  <c r="Q23" i="31"/>
  <c r="N23" i="31"/>
  <c r="K23" i="31"/>
  <c r="J23" i="31"/>
  <c r="Q22" i="31"/>
  <c r="N22" i="31"/>
  <c r="K22" i="31"/>
  <c r="J22" i="31"/>
  <c r="O19" i="31"/>
  <c r="L19" i="31"/>
  <c r="I19" i="31"/>
  <c r="J19" i="31" s="1"/>
  <c r="H19" i="31"/>
  <c r="Q18" i="31"/>
  <c r="Q17" i="31"/>
  <c r="N17" i="31"/>
  <c r="K17" i="31"/>
  <c r="J17" i="31"/>
  <c r="Q16" i="31"/>
  <c r="N16" i="31"/>
  <c r="K16" i="31"/>
  <c r="J16" i="31"/>
  <c r="P8" i="31"/>
  <c r="P7" i="31"/>
  <c r="P6" i="31"/>
  <c r="P5" i="31"/>
  <c r="O54" i="31" l="1"/>
  <c r="G87" i="24"/>
  <c r="E67" i="24"/>
  <c r="E25" i="24" s="1"/>
  <c r="G60" i="24"/>
  <c r="G77" i="24"/>
  <c r="D24" i="10"/>
  <c r="F24" i="10" s="1"/>
  <c r="D27" i="10"/>
  <c r="F27" i="10" s="1"/>
  <c r="D18" i="10"/>
  <c r="C4" i="10"/>
  <c r="F8" i="10" s="1"/>
  <c r="F11" i="20"/>
  <c r="F13" i="20"/>
  <c r="F8" i="20"/>
  <c r="F9" i="20"/>
  <c r="F10" i="20"/>
  <c r="F12" i="20"/>
  <c r="F15" i="20"/>
  <c r="E75" i="24"/>
  <c r="F14" i="20"/>
  <c r="N28" i="31"/>
  <c r="E80" i="24"/>
  <c r="K28" i="31"/>
  <c r="E73" i="24"/>
  <c r="G83" i="24"/>
  <c r="N38" i="20"/>
  <c r="K19" i="31"/>
  <c r="N41" i="31"/>
  <c r="N39" i="20"/>
  <c r="L51" i="20"/>
  <c r="E56" i="24"/>
  <c r="E61" i="24"/>
  <c r="G75" i="24"/>
  <c r="G81" i="24"/>
  <c r="D22" i="10"/>
  <c r="F22" i="10" s="1"/>
  <c r="N40" i="20"/>
  <c r="E58" i="24"/>
  <c r="E63" i="24"/>
  <c r="D36" i="10"/>
  <c r="F36" i="10" s="1"/>
  <c r="E54" i="24"/>
  <c r="N36" i="20"/>
  <c r="E52" i="24"/>
  <c r="E60" i="24"/>
  <c r="E18" i="24" s="1"/>
  <c r="E65" i="24"/>
  <c r="E23" i="24" s="1"/>
  <c r="G73" i="24"/>
  <c r="G79" i="24"/>
  <c r="G85" i="24"/>
  <c r="E53" i="24"/>
  <c r="E57" i="24"/>
  <c r="E64" i="24"/>
  <c r="E81" i="24"/>
  <c r="I17" i="20"/>
  <c r="J9" i="20" s="1"/>
  <c r="N42" i="20"/>
  <c r="L56" i="20"/>
  <c r="E55" i="24"/>
  <c r="E59" i="24"/>
  <c r="E62" i="24"/>
  <c r="E66" i="24"/>
  <c r="E24" i="24" s="1"/>
  <c r="E83" i="24"/>
  <c r="D33" i="10"/>
  <c r="F33" i="10" s="1"/>
  <c r="K41" i="31"/>
  <c r="O28" i="31"/>
  <c r="N51" i="20"/>
  <c r="N57" i="20"/>
  <c r="N15" i="20" s="1"/>
  <c r="N53" i="20"/>
  <c r="G67" i="24"/>
  <c r="G25" i="24" s="1"/>
  <c r="G62" i="24"/>
  <c r="G20" i="24" s="1"/>
  <c r="G54" i="24"/>
  <c r="G64" i="24"/>
  <c r="G56" i="24"/>
  <c r="G14" i="24" s="1"/>
  <c r="N19" i="31"/>
  <c r="N38" i="31"/>
  <c r="J41" i="31"/>
  <c r="Q41" i="31"/>
  <c r="G52" i="24"/>
  <c r="E85" i="24"/>
  <c r="E82" i="24"/>
  <c r="E77" i="24"/>
  <c r="E74" i="24"/>
  <c r="E87" i="24"/>
  <c r="E84" i="24"/>
  <c r="E79" i="24"/>
  <c r="E76" i="24"/>
  <c r="K38" i="31"/>
  <c r="G58" i="24"/>
  <c r="G66" i="24"/>
  <c r="G24" i="24" s="1"/>
  <c r="E78" i="24"/>
  <c r="E86" i="24"/>
  <c r="D36" i="12"/>
  <c r="D43" i="13"/>
  <c r="D10" i="13" s="1"/>
  <c r="G17" i="20"/>
  <c r="N37" i="20"/>
  <c r="N9" i="20" s="1"/>
  <c r="N41" i="20"/>
  <c r="H56" i="31"/>
  <c r="Q35" i="31"/>
  <c r="K35" i="31"/>
  <c r="J35" i="31"/>
  <c r="N35" i="31"/>
  <c r="Q38" i="31"/>
  <c r="Q31" i="31"/>
  <c r="Q19" i="31"/>
  <c r="Q24" i="31"/>
  <c r="J31" i="31"/>
  <c r="N31" i="31"/>
  <c r="J38" i="31"/>
  <c r="K31" i="31"/>
  <c r="L36" i="20"/>
  <c r="L38" i="20"/>
  <c r="L40" i="20"/>
  <c r="L42" i="20"/>
  <c r="N44" i="20"/>
  <c r="L50" i="20"/>
  <c r="L53" i="20"/>
  <c r="N55" i="20"/>
  <c r="L58" i="20"/>
  <c r="L16" i="20" s="1"/>
  <c r="L37" i="20"/>
  <c r="L9" i="20" s="1"/>
  <c r="L39" i="20"/>
  <c r="L41" i="20"/>
  <c r="L13" i="20" s="1"/>
  <c r="L43" i="20"/>
  <c r="L54" i="20"/>
  <c r="L57" i="20"/>
  <c r="D41" i="10"/>
  <c r="F41" i="10" s="1"/>
  <c r="D39" i="10"/>
  <c r="F39" i="10" s="1"/>
  <c r="D43" i="10"/>
  <c r="F43" i="10" s="1"/>
  <c r="D34" i="10"/>
  <c r="F34" i="10" s="1"/>
  <c r="D31" i="10"/>
  <c r="F31" i="10" s="1"/>
  <c r="D42" i="10"/>
  <c r="F42" i="10" s="1"/>
  <c r="D40" i="10"/>
  <c r="F40" i="10" s="1"/>
  <c r="D38" i="10"/>
  <c r="F38" i="10" s="1"/>
  <c r="D35" i="10"/>
  <c r="F35" i="10" s="1"/>
  <c r="D32" i="10"/>
  <c r="F32" i="10" s="1"/>
  <c r="D29" i="10"/>
  <c r="F29" i="10" s="1"/>
  <c r="D30" i="10"/>
  <c r="F30" i="10" s="1"/>
  <c r="D25" i="10"/>
  <c r="F25" i="10" s="1"/>
  <c r="D23" i="10"/>
  <c r="F23" i="10" s="1"/>
  <c r="D19" i="10"/>
  <c r="F19" i="10" s="1"/>
  <c r="D37" i="10"/>
  <c r="F37" i="10" s="1"/>
  <c r="D28" i="10"/>
  <c r="F28" i="10" s="1"/>
  <c r="D26" i="10"/>
  <c r="F26" i="10" s="1"/>
  <c r="D20" i="10"/>
  <c r="F20" i="10" s="1"/>
  <c r="I5" i="10"/>
  <c r="D21" i="10"/>
  <c r="F21" i="10" s="1"/>
  <c r="I6" i="10"/>
  <c r="L52" i="20"/>
  <c r="N58" i="20"/>
  <c r="N56" i="20"/>
  <c r="N54" i="20"/>
  <c r="N52" i="20"/>
  <c r="N50" i="20"/>
  <c r="G53" i="24"/>
  <c r="G11" i="24" s="1"/>
  <c r="G55" i="24"/>
  <c r="G57" i="24"/>
  <c r="G15" i="24" s="1"/>
  <c r="G59" i="24"/>
  <c r="G61" i="24"/>
  <c r="G63" i="24"/>
  <c r="G65" i="24"/>
  <c r="G74" i="24"/>
  <c r="G76" i="24"/>
  <c r="G78" i="24"/>
  <c r="G80" i="24"/>
  <c r="G82" i="24"/>
  <c r="G84" i="24"/>
  <c r="G86" i="24"/>
  <c r="L14" i="20" l="1"/>
  <c r="L12" i="20"/>
  <c r="G22" i="24"/>
  <c r="E13" i="24"/>
  <c r="E20" i="24"/>
  <c r="E10" i="24"/>
  <c r="G23" i="24"/>
  <c r="N13" i="20"/>
  <c r="G12" i="24"/>
  <c r="E17" i="24"/>
  <c r="E19" i="24"/>
  <c r="N16" i="20"/>
  <c r="E14" i="24"/>
  <c r="H14" i="24" s="1"/>
  <c r="I14" i="24" s="1"/>
  <c r="K22" i="10" s="1"/>
  <c r="N14" i="20"/>
  <c r="N8" i="20"/>
  <c r="N11" i="20"/>
  <c r="L10" i="20"/>
  <c r="E12" i="24"/>
  <c r="L15" i="20"/>
  <c r="L8" i="20"/>
  <c r="G10" i="24"/>
  <c r="G18" i="24"/>
  <c r="G21" i="24"/>
  <c r="O56" i="31"/>
  <c r="E22" i="24"/>
  <c r="E21" i="24"/>
  <c r="N10" i="20"/>
  <c r="G19" i="24"/>
  <c r="G17" i="24"/>
  <c r="L11" i="20"/>
  <c r="Q28" i="31"/>
  <c r="G16" i="24"/>
  <c r="E15" i="24"/>
  <c r="H15" i="24" s="1"/>
  <c r="I15" i="24" s="1"/>
  <c r="K24" i="10" s="1"/>
  <c r="E16" i="24"/>
  <c r="H16" i="24" s="1"/>
  <c r="E11" i="24"/>
  <c r="N12" i="20"/>
  <c r="G13" i="24"/>
  <c r="H13" i="24" s="1"/>
  <c r="I13" i="24" s="1"/>
  <c r="K21" i="10" s="1"/>
  <c r="G47" i="24"/>
  <c r="E47" i="24"/>
  <c r="F5" i="10"/>
  <c r="F6" i="10"/>
  <c r="J8" i="20"/>
  <c r="F17" i="20"/>
  <c r="J14" i="20"/>
  <c r="J15" i="20"/>
  <c r="J13" i="20"/>
  <c r="O13" i="20" s="1"/>
  <c r="P13" i="20" s="1"/>
  <c r="J24" i="10" s="1"/>
  <c r="E68" i="24"/>
  <c r="H24" i="24"/>
  <c r="I24" i="24" s="1"/>
  <c r="K36" i="10" s="1"/>
  <c r="H18" i="24"/>
  <c r="I18" i="24" s="1"/>
  <c r="K27" i="10" s="1"/>
  <c r="J12" i="20"/>
  <c r="J11" i="20"/>
  <c r="J10" i="20"/>
  <c r="J16" i="20"/>
  <c r="L59" i="20"/>
  <c r="H25" i="24"/>
  <c r="I25" i="24" s="1"/>
  <c r="K37" i="10" s="1"/>
  <c r="E89" i="24"/>
  <c r="G89" i="24"/>
  <c r="G40" i="10"/>
  <c r="K54" i="31"/>
  <c r="J54" i="31"/>
  <c r="N54" i="31"/>
  <c r="D44" i="10"/>
  <c r="F18" i="10"/>
  <c r="L45" i="20"/>
  <c r="G39" i="10"/>
  <c r="G33" i="19"/>
  <c r="G36" i="19" s="1"/>
  <c r="G38" i="19" s="1"/>
  <c r="N59" i="20"/>
  <c r="I56" i="31"/>
  <c r="G68" i="24"/>
  <c r="N45" i="20"/>
  <c r="L56" i="31"/>
  <c r="Q54" i="31"/>
  <c r="P49" i="31" l="1"/>
  <c r="P50" i="31"/>
  <c r="P56" i="31"/>
  <c r="P52" i="31"/>
  <c r="P46" i="31"/>
  <c r="P42" i="31"/>
  <c r="P32" i="31"/>
  <c r="P26" i="31"/>
  <c r="P22" i="31"/>
  <c r="P47" i="31"/>
  <c r="P39" i="31"/>
  <c r="P27" i="31"/>
  <c r="P16" i="31"/>
  <c r="P55" i="31"/>
  <c r="P51" i="31"/>
  <c r="P45" i="31"/>
  <c r="P25" i="31"/>
  <c r="P18" i="31"/>
  <c r="O60" i="31"/>
  <c r="O61" i="31" s="1"/>
  <c r="O66" i="31" s="1"/>
  <c r="P53" i="31"/>
  <c r="P43" i="31"/>
  <c r="P33" i="31"/>
  <c r="P23" i="31"/>
  <c r="P48" i="31"/>
  <c r="P44" i="31"/>
  <c r="P40" i="31"/>
  <c r="P34" i="31"/>
  <c r="P24" i="31"/>
  <c r="P17" i="31"/>
  <c r="P31" i="31"/>
  <c r="P19" i="31"/>
  <c r="P41" i="31"/>
  <c r="P35" i="31"/>
  <c r="P38" i="31"/>
  <c r="P54" i="31"/>
  <c r="P28" i="31"/>
  <c r="Q56" i="31"/>
  <c r="K25" i="10"/>
  <c r="I16" i="24"/>
  <c r="H12" i="24"/>
  <c r="H10" i="24"/>
  <c r="I10" i="24" s="1"/>
  <c r="O9" i="20"/>
  <c r="P9" i="20" s="1"/>
  <c r="J19" i="10" s="1"/>
  <c r="O15" i="20"/>
  <c r="O14" i="20"/>
  <c r="P14" i="20" s="1"/>
  <c r="J25" i="10" s="1"/>
  <c r="J17" i="20"/>
  <c r="O10" i="20"/>
  <c r="P10" i="20" s="1"/>
  <c r="J20" i="10" s="1"/>
  <c r="O16" i="20"/>
  <c r="P16" i="20" s="1"/>
  <c r="J30" i="10" s="1"/>
  <c r="H22" i="24"/>
  <c r="I22" i="24" s="1"/>
  <c r="K31" i="10" s="1"/>
  <c r="H17" i="24"/>
  <c r="I17" i="24" s="1"/>
  <c r="K26" i="10" s="1"/>
  <c r="H23" i="24"/>
  <c r="I23" i="24" s="1"/>
  <c r="K34" i="10" s="1"/>
  <c r="H21" i="24"/>
  <c r="I21" i="24" s="1"/>
  <c r="K30" i="10" s="1"/>
  <c r="H19" i="24"/>
  <c r="I19" i="24" s="1"/>
  <c r="K28" i="10" s="1"/>
  <c r="G32" i="10"/>
  <c r="H20" i="24"/>
  <c r="I20" i="24" s="1"/>
  <c r="K29" i="10" s="1"/>
  <c r="G36" i="10"/>
  <c r="E26" i="24"/>
  <c r="O12" i="20"/>
  <c r="P12" i="20" s="1"/>
  <c r="J22" i="10" s="1"/>
  <c r="G41" i="10"/>
  <c r="G43" i="10"/>
  <c r="G24" i="10"/>
  <c r="O11" i="20"/>
  <c r="P11" i="20" s="1"/>
  <c r="J21" i="10" s="1"/>
  <c r="N17" i="20"/>
  <c r="H11" i="24"/>
  <c r="I11" i="24" s="1"/>
  <c r="K19" i="10" s="1"/>
  <c r="G26" i="24"/>
  <c r="G22" i="10"/>
  <c r="G29" i="10"/>
  <c r="G37" i="10"/>
  <c r="G35" i="10"/>
  <c r="G21" i="10"/>
  <c r="G27" i="10"/>
  <c r="J56" i="31"/>
  <c r="K56" i="31"/>
  <c r="G20" i="10"/>
  <c r="G33" i="10"/>
  <c r="G25" i="10"/>
  <c r="K18" i="10"/>
  <c r="G31" i="10"/>
  <c r="G26" i="10"/>
  <c r="G28" i="10"/>
  <c r="G30" i="10"/>
  <c r="N56" i="31"/>
  <c r="L55" i="31"/>
  <c r="M56" i="31"/>
  <c r="M35" i="31"/>
  <c r="M19" i="31"/>
  <c r="M28" i="31"/>
  <c r="G34" i="10"/>
  <c r="L17" i="20"/>
  <c r="O8" i="20"/>
  <c r="F44" i="10"/>
  <c r="M54" i="31"/>
  <c r="G23" i="10"/>
  <c r="I12" i="24" l="1"/>
  <c r="K20" i="10" s="1"/>
  <c r="M52" i="31"/>
  <c r="M53" i="31"/>
  <c r="P15" i="20"/>
  <c r="J29" i="10" s="1"/>
  <c r="H26" i="24"/>
  <c r="P8" i="20"/>
  <c r="O17" i="20"/>
  <c r="M41" i="31"/>
  <c r="M26" i="31"/>
  <c r="M17" i="31"/>
  <c r="M25" i="31"/>
  <c r="M48" i="31"/>
  <c r="M46" i="31"/>
  <c r="M43" i="31"/>
  <c r="M40" i="31"/>
  <c r="M33" i="31"/>
  <c r="M27" i="31"/>
  <c r="M24" i="31"/>
  <c r="M16" i="31"/>
  <c r="M23" i="31"/>
  <c r="M22" i="31"/>
  <c r="M51" i="31"/>
  <c r="M47" i="31"/>
  <c r="M44" i="31"/>
  <c r="M39" i="31"/>
  <c r="M32" i="31"/>
  <c r="M31" i="31"/>
  <c r="M38" i="31"/>
  <c r="G42" i="10"/>
  <c r="K44" i="10" l="1"/>
  <c r="I26" i="24"/>
  <c r="G38" i="10"/>
  <c r="G18" i="10"/>
  <c r="J18" i="10"/>
  <c r="J44" i="10" s="1"/>
  <c r="P17" i="20"/>
  <c r="G19" i="10" l="1"/>
  <c r="G44" i="10" l="1"/>
  <c r="H44" i="10" l="1"/>
  <c r="N44" i="10"/>
</calcChain>
</file>

<file path=xl/sharedStrings.xml><?xml version="1.0" encoding="utf-8"?>
<sst xmlns="http://schemas.openxmlformats.org/spreadsheetml/2006/main" count="1238" uniqueCount="349">
  <si>
    <t>údaje v Kč</t>
  </si>
  <si>
    <t>Ukazatel P - společenské priority</t>
  </si>
  <si>
    <t>Kód VVŠ</t>
  </si>
  <si>
    <t>Název VVŠ</t>
  </si>
  <si>
    <t>Univerzita Karlova</t>
  </si>
  <si>
    <t>Jihočeská univerzita v Českých Budějovicích</t>
  </si>
  <si>
    <t>Univerzita Jana Evangelisty Purkyně v Ústí nad Labem</t>
  </si>
  <si>
    <t>Masarykova univerzita</t>
  </si>
  <si>
    <t>Univerzita Palackého v Olomouci</t>
  </si>
  <si>
    <t>Ostravská univerzita</t>
  </si>
  <si>
    <t>Univerzita Hradec Králové</t>
  </si>
  <si>
    <t>Slezská univerzita v Opavě</t>
  </si>
  <si>
    <t>České vysoké učení technické v Praze</t>
  </si>
  <si>
    <t>Vysoká škola chemicko-technologická v Praze</t>
  </si>
  <si>
    <t>Západočeská univerzita v Plzni</t>
  </si>
  <si>
    <t>Technická univerzita v Liberci</t>
  </si>
  <si>
    <t>Univerzita Pardubice</t>
  </si>
  <si>
    <t>Vysoké učení technické v Brně</t>
  </si>
  <si>
    <t>Vysoká škola báňská - Technická univerzita Ostrava</t>
  </si>
  <si>
    <t>Univerzita Tomáše Bati ve Zlíně</t>
  </si>
  <si>
    <t>Vysoká škola ekonomická v Praze</t>
  </si>
  <si>
    <t>Česká zemědělská univerzita v Praze</t>
  </si>
  <si>
    <t>Mendelova univerzita v Brně</t>
  </si>
  <si>
    <t>Akademie múzických umění v Praze</t>
  </si>
  <si>
    <t>Akademie výtvarných umění v Praze</t>
  </si>
  <si>
    <t>Vysoká škola uměleckoprůmyslová v Praze</t>
  </si>
  <si>
    <t>Vysoká škola polytechnická Jihlava</t>
  </si>
  <si>
    <t>Vysoká škola technická a ekonomická v Českých Budějovicích</t>
  </si>
  <si>
    <t>Celkem</t>
  </si>
  <si>
    <t>Podíl v %</t>
  </si>
  <si>
    <t>Částka</t>
  </si>
  <si>
    <t>Částka po krácení</t>
  </si>
  <si>
    <t>vč. krácení dle čl. 10 odst. 7 Pravidel</t>
  </si>
  <si>
    <t>částka vyčleněná na RO I</t>
  </si>
  <si>
    <t>Kč</t>
  </si>
  <si>
    <t>Podíl na RO I</t>
  </si>
  <si>
    <t>RO I celkem</t>
  </si>
  <si>
    <t xml:space="preserve">     v tom ukazatel A - fixní část</t>
  </si>
  <si>
    <t xml:space="preserve">     v tom ukazatel K - výkonová část </t>
  </si>
  <si>
    <t xml:space="preserve">     v tom ukazatel P - společenské priority</t>
  </si>
  <si>
    <t>Podíl na A + K</t>
  </si>
  <si>
    <t>Ukazatel A - fixní část</t>
  </si>
  <si>
    <t>Ukazatel K - výkonová část</t>
  </si>
  <si>
    <t>Lékařské fakulty</t>
  </si>
  <si>
    <t>Pedagogické fakulty</t>
  </si>
  <si>
    <t xml:space="preserve">                 v tom lékařské fakulty</t>
  </si>
  <si>
    <t xml:space="preserve">                 v tom pedagogické fakulty</t>
  </si>
  <si>
    <t>(Nezahrnuje dotace na programy reprodukce majetku)</t>
  </si>
  <si>
    <t>Položka</t>
  </si>
  <si>
    <t>meziroční změna</t>
  </si>
  <si>
    <t>Průměrný normativ</t>
  </si>
  <si>
    <t>x</t>
  </si>
  <si>
    <t>Výpočt. stip. v doktor. studiu (ročně)</t>
  </si>
  <si>
    <t>Základní normativ</t>
  </si>
  <si>
    <t>Výpočtové ubytovací stipendium (ročně)</t>
  </si>
  <si>
    <t xml:space="preserve">Normativ absolventa </t>
  </si>
  <si>
    <t>Výpočtová dotace na 1  jídlo</t>
  </si>
  <si>
    <t>Název ukazatele / položky</t>
  </si>
  <si>
    <r>
      <t xml:space="preserve">% podíl z celku </t>
    </r>
    <r>
      <rPr>
        <i/>
        <sz val="11"/>
        <color indexed="23"/>
        <rFont val="Arial"/>
        <family val="2"/>
        <charset val="238"/>
      </rPr>
      <t>(sl. 3)</t>
    </r>
  </si>
  <si>
    <r>
      <t xml:space="preserve">Meziroční vývoj 
</t>
    </r>
    <r>
      <rPr>
        <i/>
        <sz val="11"/>
        <color indexed="23"/>
        <rFont val="Arial"/>
        <family val="2"/>
        <charset val="238"/>
      </rPr>
      <t>(sl. 3 vs 2)</t>
    </r>
  </si>
  <si>
    <r>
      <t xml:space="preserve">% podíl z celku </t>
    </r>
    <r>
      <rPr>
        <i/>
        <sz val="11"/>
        <color indexed="23"/>
        <rFont val="Arial"/>
        <family val="2"/>
        <charset val="238"/>
      </rPr>
      <t>(sl. 6)</t>
    </r>
  </si>
  <si>
    <r>
      <t xml:space="preserve">Meziroční vývoj 
</t>
    </r>
    <r>
      <rPr>
        <i/>
        <sz val="11"/>
        <color indexed="23"/>
        <rFont val="Arial"/>
        <family val="2"/>
        <charset val="238"/>
      </rPr>
      <t>(sl. 6 vs 3)</t>
    </r>
  </si>
  <si>
    <t>Rozpočet 2019</t>
  </si>
  <si>
    <r>
      <t xml:space="preserve">% podíl z celku </t>
    </r>
    <r>
      <rPr>
        <i/>
        <sz val="11"/>
        <color indexed="23"/>
        <rFont val="Arial"/>
        <family val="2"/>
        <charset val="238"/>
      </rPr>
      <t>(sl. 9)</t>
    </r>
  </si>
  <si>
    <r>
      <t xml:space="preserve">Meziroční vývoj 
</t>
    </r>
    <r>
      <rPr>
        <i/>
        <sz val="11"/>
        <color indexed="23"/>
        <rFont val="Arial"/>
        <family val="2"/>
        <charset val="238"/>
      </rPr>
      <t>(sl. 9 vs 6)</t>
    </r>
  </si>
  <si>
    <t>Rozpočtový okruh I, institucionální část rozpočtu</t>
  </si>
  <si>
    <t>P</t>
  </si>
  <si>
    <t>Celkem normativní část rozpočtu</t>
  </si>
  <si>
    <t>Rozpočtový okruh II, Sociální záležitosti studentů</t>
  </si>
  <si>
    <t>Ukazatel C - stipendia pro studenty doktorských stud. prog.</t>
  </si>
  <si>
    <t>D</t>
  </si>
  <si>
    <t>Ukazatel J - dotace na ubytování a stravování studentů</t>
  </si>
  <si>
    <t>Ukazatel S1 - příspěvek na sociální stipendia VVŠ</t>
  </si>
  <si>
    <t>Ukazatel U1- příspěvek na ubytovací stipendia VVŠ</t>
  </si>
  <si>
    <t>Celkem sociální záležitosti studentů</t>
  </si>
  <si>
    <t>Rozpočtový okruh III, Rozvoj vysokých škol</t>
  </si>
  <si>
    <t xml:space="preserve">Ukazatel I - rozvojové programy </t>
  </si>
  <si>
    <t>Centralizované rozvojové projekty</t>
  </si>
  <si>
    <t>Program digitalizace</t>
  </si>
  <si>
    <t>Celkem rozvoj vysokých škol</t>
  </si>
  <si>
    <t>Rozpočtový okruh IV, Mezinárodní spolupráce a ostatní</t>
  </si>
  <si>
    <t>Ukazatel D - mezinárodní spolupráce</t>
  </si>
  <si>
    <t>CEEPUS</t>
  </si>
  <si>
    <t>Podpora mezinárodní spolupráce</t>
  </si>
  <si>
    <t>Ukazatel F - Fond vzdělávací politiky</t>
  </si>
  <si>
    <t>V tom:</t>
  </si>
  <si>
    <t>Systémová podpora VŠ</t>
  </si>
  <si>
    <t>Studium studentů se specifickými potřebami</t>
  </si>
  <si>
    <t>Univerzita třetího věku (U3V)</t>
  </si>
  <si>
    <t>Podpora umělecké tvůrčí činnosti</t>
  </si>
  <si>
    <t>další</t>
  </si>
  <si>
    <t>Celkem Mezinárodní spolupráce a ostatní</t>
  </si>
  <si>
    <t>Ukazatel rozpočtu VŠ (zák. o státním rozpočtu)</t>
  </si>
  <si>
    <t>Příspěvek celkem</t>
  </si>
  <si>
    <t>Dotace celkem</t>
  </si>
  <si>
    <t>V některých ukazatelích může být poskytnut příspěvek nebo dotace v závislosti na účelu, na který se poskytuje.</t>
  </si>
  <si>
    <t>Rozpočet 2020</t>
  </si>
  <si>
    <t>Ukazatel C</t>
  </si>
  <si>
    <t>Jednotková výše stipendia - 10 měsíců v roce (Kč)</t>
  </si>
  <si>
    <t>měsíčně</t>
  </si>
  <si>
    <t>Jednotková výše stipendia (Kč)</t>
  </si>
  <si>
    <t>ročně</t>
  </si>
  <si>
    <t xml:space="preserve">Výše příspěvku           v ukazateli </t>
  </si>
  <si>
    <t>Ukazatel U</t>
  </si>
  <si>
    <t>Základní údaje</t>
  </si>
  <si>
    <t>Počet studentů splňujících podmínky VVŠ</t>
  </si>
  <si>
    <t>Počet studentů splňujících podmínky SVŠ</t>
  </si>
  <si>
    <t>Jednotková sazba (Kč)</t>
  </si>
  <si>
    <t>Výše příspěvku pro VVŠ (Kč)</t>
  </si>
  <si>
    <t>Ukazatel U1 - veřejné vysoké školy</t>
  </si>
  <si>
    <t>Název VŠ</t>
  </si>
  <si>
    <t>Počet studentů</t>
  </si>
  <si>
    <t>výše příspěvku</t>
  </si>
  <si>
    <t>Celkem   V V Š</t>
  </si>
  <si>
    <t>SP přípravující budoucí ped. pracovníky</t>
  </si>
  <si>
    <t>Ekonomická knihovna VŠE</t>
  </si>
  <si>
    <t>Váha parametru</t>
  </si>
  <si>
    <t>Mezinárodní mobility</t>
  </si>
  <si>
    <t>Zaměstnanost abolventů</t>
  </si>
  <si>
    <t>VaV</t>
  </si>
  <si>
    <t>RUV</t>
  </si>
  <si>
    <t>Externí příjmy</t>
  </si>
  <si>
    <t>Podíl v rámci segmentu</t>
  </si>
  <si>
    <t>Celkový podíl na výkonové části</t>
  </si>
  <si>
    <t>Vyslaní</t>
  </si>
  <si>
    <t>Přijatí</t>
  </si>
  <si>
    <t>Podíl</t>
  </si>
  <si>
    <t>CELKEM</t>
  </si>
  <si>
    <t>Graduation rate</t>
  </si>
  <si>
    <t>Zaměstnanost absolventů</t>
  </si>
  <si>
    <t>Cizinci (AP + VP)</t>
  </si>
  <si>
    <t xml:space="preserve">                 v tom učitelské SP</t>
  </si>
  <si>
    <t xml:space="preserve">                 v tom ekonomická knihovna CIKS</t>
  </si>
  <si>
    <t>Ukazatel J</t>
  </si>
  <si>
    <t xml:space="preserve">celkový počet vydaných jídel </t>
  </si>
  <si>
    <t>teplých</t>
  </si>
  <si>
    <t>studených</t>
  </si>
  <si>
    <t>stud. přepočt.</t>
  </si>
  <si>
    <t>celkem tep. + st. přep.</t>
  </si>
  <si>
    <t>Normativ na jedno hlavní jídlo (Kč)</t>
  </si>
  <si>
    <t>Rezerva na žádosti dle čl. 16 Pravidel (Kč)</t>
  </si>
  <si>
    <t>Ukazatel P - společenské priority - pedagogické fakulty</t>
  </si>
  <si>
    <t>Název fakulty</t>
  </si>
  <si>
    <t>Podíl na celku</t>
  </si>
  <si>
    <t>Objem na dorovnání v Kč</t>
  </si>
  <si>
    <t>Částka v Kč</t>
  </si>
  <si>
    <t>Pedagogická fakulta</t>
  </si>
  <si>
    <t>Fakulta př/hum a pedagogická</t>
  </si>
  <si>
    <t xml:space="preserve">Ukazatel F </t>
  </si>
  <si>
    <t>Celková částka podle rozpisu rozpočtu (Kč)</t>
  </si>
  <si>
    <t>Jednotková částka na jednu studentohodinu (Kč)</t>
  </si>
  <si>
    <t>Upravený nárok</t>
  </si>
  <si>
    <t>Počet účastníků U3V</t>
  </si>
  <si>
    <t>Počet studento- hodin</t>
  </si>
  <si>
    <t>Ukazatel F</t>
  </si>
  <si>
    <t>Celková částka vyčleněná na studium SSP (Kč)</t>
  </si>
  <si>
    <t>Rozsah vykrytí kalkulovaných zvýšených nákladů (%)</t>
  </si>
  <si>
    <t>Kalkulované zvýšené náklady (Kč)</t>
  </si>
  <si>
    <r>
      <t>Sociální stipendium (měsíčně)</t>
    </r>
    <r>
      <rPr>
        <b/>
        <vertAlign val="superscript"/>
        <sz val="11"/>
        <rFont val="Arial"/>
        <family val="2"/>
        <charset val="238"/>
      </rPr>
      <t xml:space="preserve"> 2*)</t>
    </r>
  </si>
  <si>
    <r>
      <t xml:space="preserve">Příspěvek </t>
    </r>
    <r>
      <rPr>
        <b/>
        <vertAlign val="superscript"/>
        <sz val="11"/>
        <rFont val="Arial"/>
        <family val="2"/>
        <charset val="238"/>
      </rPr>
      <t>1*</t>
    </r>
    <r>
      <rPr>
        <b/>
        <sz val="11"/>
        <rFont val="Arial"/>
        <family val="2"/>
        <charset val="238"/>
      </rPr>
      <t>)</t>
    </r>
  </si>
  <si>
    <r>
      <t xml:space="preserve">Dotace </t>
    </r>
    <r>
      <rPr>
        <b/>
        <vertAlign val="superscript"/>
        <sz val="11"/>
        <rFont val="Arial"/>
        <family val="2"/>
        <charset val="238"/>
      </rPr>
      <t>1*)</t>
    </r>
  </si>
  <si>
    <t>v tom</t>
  </si>
  <si>
    <t>Celkem příspěvek + dotace</t>
  </si>
  <si>
    <t>Výdaje na EDS/SMVS (sekce I)</t>
  </si>
  <si>
    <t>Výdaje na činnost VŠ</t>
  </si>
  <si>
    <t xml:space="preserve">1*) </t>
  </si>
  <si>
    <t xml:space="preserve">2*) </t>
  </si>
  <si>
    <t>Soukromé VŠ</t>
  </si>
  <si>
    <t>Univerzita obrany</t>
  </si>
  <si>
    <t>Ukazatel U2 - dotace na ubytovací stipendia SVŠ</t>
  </si>
  <si>
    <t>Ukazatel S2 - dotace na sociální stipendia SVŠ</t>
  </si>
  <si>
    <t>Studia v cizím jazyce</t>
  </si>
  <si>
    <t>Ukazatel I</t>
  </si>
  <si>
    <t>Přepočtený počet studií k 31. 10. 2019</t>
  </si>
  <si>
    <t>Počet rozpočtových absolventů za období 1. 11. 2018 - 31. 10. 2019</t>
  </si>
  <si>
    <t xml:space="preserve">Počet rozpočtových absolventů za období 1. 11.  - 31. 10. </t>
  </si>
  <si>
    <t>Ukazatel P - společenské priority - podpora pedagogických SP</t>
  </si>
  <si>
    <t>Přepočtená studia</t>
  </si>
  <si>
    <t>Rozpočtoví absolventi</t>
  </si>
  <si>
    <t>Počet</t>
  </si>
  <si>
    <t>Rok 2019</t>
  </si>
  <si>
    <t>Přepočtená studia k 31. 10. 2019</t>
  </si>
  <si>
    <t>Rozpočtoví absolventi za období 1. 11. 2018 - 31. 10. 2019</t>
  </si>
  <si>
    <t>Kód fakulty</t>
  </si>
  <si>
    <t>Fond umělecké činnosti (FUČ)</t>
  </si>
  <si>
    <t xml:space="preserve">3*) </t>
  </si>
  <si>
    <t>Rezerva na navýš. RO I dle čl. 14 odst. 3 Pravidel pro rok 2020</t>
  </si>
  <si>
    <r>
      <t xml:space="preserve">Podpora pedagogických fakult/pedagogických studijních programů </t>
    </r>
    <r>
      <rPr>
        <i/>
        <vertAlign val="superscript"/>
        <sz val="11"/>
        <rFont val="Arial"/>
        <family val="2"/>
        <charset val="238"/>
      </rPr>
      <t>3*)</t>
    </r>
  </si>
  <si>
    <t>Bude upřesněno v průběhu roku podle povahy schválených výdajů ukazatele F</t>
  </si>
  <si>
    <t>Fond umělecké činnosti</t>
  </si>
  <si>
    <t>Zdrojem dat jsou výstupy ze SIMS k 31. 10.</t>
  </si>
  <si>
    <t>Jedná o SP s dvojčíslím "75" bez SP zaměřených na sociální práci a sociální péči (7502;7508) - staré kódování a o SP s ISCED-F začínající na dvojčíslí "01" nebo převažující oblastí vzdělávání 19 nebo 30.</t>
  </si>
  <si>
    <t>Seznam tabulek:</t>
  </si>
  <si>
    <t>Ukazatel F - U3V</t>
  </si>
  <si>
    <t>Výkonová část - segment 1</t>
  </si>
  <si>
    <t>Výkonová část - segment 2</t>
  </si>
  <si>
    <t>Výkonová část - segment 3</t>
  </si>
  <si>
    <t>Výkonová část - segment 4</t>
  </si>
  <si>
    <t>Ukazatel P - Pedagogické fakulty</t>
  </si>
  <si>
    <t>Ukazatel P - Pedagogické SP</t>
  </si>
  <si>
    <t xml:space="preserve">Ukazatel F - SSP </t>
  </si>
  <si>
    <t>2a</t>
  </si>
  <si>
    <t>2b</t>
  </si>
  <si>
    <t>2c</t>
  </si>
  <si>
    <t>2d</t>
  </si>
  <si>
    <t>3a</t>
  </si>
  <si>
    <t>3b</t>
  </si>
  <si>
    <t>Rozpočtový okruh I</t>
  </si>
  <si>
    <t>Rozpočet 2021</t>
  </si>
  <si>
    <t>Přepočtený počet akad. pracovníků hrazených z kap. 333 za rok 2019</t>
  </si>
  <si>
    <t>Přepočtený počet studií k 31. 10. 2020</t>
  </si>
  <si>
    <t>Počet rozpočtových absolventů za období 1. 11. 2019 - 31. 10. 2020</t>
  </si>
  <si>
    <t>Rok 2020</t>
  </si>
  <si>
    <t>Přepočtená studia k 31. 10. 2020</t>
  </si>
  <si>
    <t>Rozpočtoví absolventi za období 1. 11. 2019 - 31. 10. 2020</t>
  </si>
  <si>
    <t>SP připravující budoucí pedag. prac. na nepedagogických fakultách v deficitních aprobacích</t>
  </si>
  <si>
    <t>Ukazatel P - Lékařské fakulty</t>
  </si>
  <si>
    <t>3c</t>
  </si>
  <si>
    <t>3d</t>
  </si>
  <si>
    <t>Ukazatel P - Deficitní aprobace</t>
  </si>
  <si>
    <t>10a</t>
  </si>
  <si>
    <t>10b</t>
  </si>
  <si>
    <t>Přepočtený počet studentů k 31. 10.</t>
  </si>
  <si>
    <t>Ukazatel P - společenské priority - lékařské fakulty</t>
  </si>
  <si>
    <t>1. lékařská fakulta</t>
  </si>
  <si>
    <t>3. lékařská fakulta</t>
  </si>
  <si>
    <t>2. lékařská fakulta</t>
  </si>
  <si>
    <t>Lékařská fakulta v Plzni</t>
  </si>
  <si>
    <t>Lékařská fakulta v Hradci Králové</t>
  </si>
  <si>
    <t>Lékařská fakulta</t>
  </si>
  <si>
    <t>Aktivní studia</t>
  </si>
  <si>
    <t>Absolvovaná studia</t>
  </si>
  <si>
    <t>Přírodovědecká fakulta</t>
  </si>
  <si>
    <t>Fakulta tělesné výchovy a sportu</t>
  </si>
  <si>
    <t>Matematicko-fyzikální fakulta</t>
  </si>
  <si>
    <t>Fakulta sportovních studií</t>
  </si>
  <si>
    <t>Fakulta tělesné kultury</t>
  </si>
  <si>
    <t xml:space="preserve">Celoškolská pracoviště (studium mimo fakulty) </t>
  </si>
  <si>
    <t>Fakulta aplikovaných věd</t>
  </si>
  <si>
    <t>Fakulta aplikované informatiky</t>
  </si>
  <si>
    <t>Ukazatel P - podpora pedagogických SP s deficitními aprobacemi</t>
  </si>
  <si>
    <t>Dílčí indikátor</t>
  </si>
  <si>
    <t>Váha</t>
  </si>
  <si>
    <t>Přepočtený počet doc a prof</t>
  </si>
  <si>
    <t>Rozpočtová absolvovaná studia</t>
  </si>
  <si>
    <t>Přepočtená studia na 1 akademického pracovníka</t>
  </si>
  <si>
    <t>VVŠ</t>
  </si>
  <si>
    <t>Název Fakulty</t>
  </si>
  <si>
    <t>Celkový podíl</t>
  </si>
  <si>
    <t>1300</t>
  </si>
  <si>
    <t>Fakulta umění a designu</t>
  </si>
  <si>
    <t>1700</t>
  </si>
  <si>
    <t>Fakulta umění</t>
  </si>
  <si>
    <t>2100</t>
  </si>
  <si>
    <t>Fakulta architektury</t>
  </si>
  <si>
    <t>2300</t>
  </si>
  <si>
    <t>Fakulta designu a umění Ladislava Sutnara</t>
  </si>
  <si>
    <t>2400</t>
  </si>
  <si>
    <t>Fakulta umění a architektury</t>
  </si>
  <si>
    <t>2500</t>
  </si>
  <si>
    <t>Fakulta restaurování</t>
  </si>
  <si>
    <t>2600</t>
  </si>
  <si>
    <t>Fakulta výtvarných umění</t>
  </si>
  <si>
    <t>2800</t>
  </si>
  <si>
    <t>Fakulta multimediálních komunikací</t>
  </si>
  <si>
    <t>5100</t>
  </si>
  <si>
    <t>Hudební a taneční fakulta</t>
  </si>
  <si>
    <t>Divadelní fakulta</t>
  </si>
  <si>
    <t>Filmová a televizní fakulta</t>
  </si>
  <si>
    <t>5200</t>
  </si>
  <si>
    <t>Celoškolská pracoviště (studium mimo fakulty)</t>
  </si>
  <si>
    <t>5300</t>
  </si>
  <si>
    <t>5400</t>
  </si>
  <si>
    <t>Hudební fakulta</t>
  </si>
  <si>
    <t>Počet studentů           se SP</t>
  </si>
  <si>
    <t xml:space="preserve">                 v tom učitelské SP - deficitní aprobace</t>
  </si>
  <si>
    <t>Aktivní studia k 31. 10. 2020</t>
  </si>
  <si>
    <t>Aktivní studia k 31. 10. 2019</t>
  </si>
  <si>
    <t>Absolvovaná studia za období od 1. 11. 2018 do 31. 10. 2019</t>
  </si>
  <si>
    <t>Absolvovaná studia za období od 1. 11. 2019 do 31. 10. 2020</t>
  </si>
  <si>
    <t>Seznam</t>
  </si>
  <si>
    <t>Zdrojem dat jsou podklady zaslané školami a výstupy SIMS k 31. 10.</t>
  </si>
  <si>
    <t>Váha indikátoru v segmentu/váha segmentu na ukazateli K</t>
  </si>
  <si>
    <t>Počet stud. v DSP s nárokem na stupendium</t>
  </si>
  <si>
    <t>Roční dotace na stravování (Kč)</t>
  </si>
  <si>
    <t>Rozpočtová výše dotace pro SVŠ (Kč)</t>
  </si>
  <si>
    <t>Uplatněný nárok</t>
  </si>
  <si>
    <t>Členění rozpisu rozpočtu (vč. výdajů na EDS/SMVS a výdajů na mezinárodní spolupráci) z pohledu struktury výdajů státní pokladny</t>
  </si>
  <si>
    <t>Výdaje na mezinárodní spolupráci (sekce IV)</t>
  </si>
  <si>
    <t>Rozpis rozpočtu vysokých škol na rok 2022</t>
  </si>
  <si>
    <t>Bilance zdrojů pro rozdělení příspěvku a dotací vysokým školám v roce 2022</t>
  </si>
  <si>
    <t>Vyčleněná částka na lékařské fakulty pro rok 2022</t>
  </si>
  <si>
    <t>Krácení finančních prostředků</t>
  </si>
  <si>
    <t>Částka v KČ</t>
  </si>
  <si>
    <t>Zdrojem dat o studentech s nárokem na doktorské stipendium je SIMS k 31. 10. 2021</t>
  </si>
  <si>
    <t>Stipendia pro studenty doktorských studijních programů v roce 2022</t>
  </si>
  <si>
    <t>Částka v rozpisu rozpočtu na rok 2022</t>
  </si>
  <si>
    <t>Dotace (Kč)</t>
  </si>
  <si>
    <t xml:space="preserve"> Dotace na ubytování a stravování studentů v roce 2022</t>
  </si>
  <si>
    <t>Ubytovací stipendium v roce 2022</t>
  </si>
  <si>
    <t>Zdrojem počtu studentů s nárokem na ubytovací stipendium je SIMS k 31. 10. 2021</t>
  </si>
  <si>
    <t>Fond umělecké činnosti pro rok 2022</t>
  </si>
  <si>
    <t>Podpora financování nákladů souvisejících se vzděláváním seniorů prostřednictvím tzv. Univerzit třetího věku v roce 2022</t>
  </si>
  <si>
    <t xml:space="preserve">Příspěvek na U3V na r. 2022
</t>
  </si>
  <si>
    <t>Podpora financování zvýšených nákladů souvisejících se studiem studentů se specifickými potřebami v roce 2022</t>
  </si>
  <si>
    <r>
      <rPr>
        <b/>
        <sz val="10"/>
        <color indexed="8"/>
        <rFont val="Calibri"/>
        <family val="2"/>
        <charset val="238"/>
      </rPr>
      <t>V roce 2021</t>
    </r>
    <r>
      <rPr>
        <sz val="10"/>
        <color indexed="8"/>
        <rFont val="Calibri"/>
        <family val="2"/>
        <charset val="238"/>
      </rPr>
      <t xml:space="preserve"> byly uplatněné </t>
    </r>
    <r>
      <rPr>
        <b/>
        <sz val="10"/>
        <color indexed="8"/>
        <rFont val="Calibri"/>
        <family val="2"/>
        <charset val="238"/>
      </rPr>
      <t xml:space="preserve">nároky vykryty ve výši </t>
    </r>
  </si>
  <si>
    <t>Příspěvek na studium SSP           v r. 2022
(v Kč)</t>
  </si>
  <si>
    <t>Částka vyčleněná  na ukazatel FUČ pro rok 2022</t>
  </si>
  <si>
    <t>Vyčleněná částka na pedagogické fakulty pro rok 2022</t>
  </si>
  <si>
    <t>Výše mzd. prostředků AP za rok 2020 z kap. 333 v tis. Kč</t>
  </si>
  <si>
    <t>Průměrná mzda akadem. pracovníka za rok 2020 z kap. 333</t>
  </si>
  <si>
    <t xml:space="preserve">Zdrojem dat je statistický výstup MŠMT P1b-04 za rok 2020 a výstupy ze SIMS k 31. 10. </t>
  </si>
  <si>
    <t>Rok 2021</t>
  </si>
  <si>
    <t>Přepočtený počet studií k 31. 10. 2021</t>
  </si>
  <si>
    <t>Počet rozpočtových absolventů za období 1. 11. 2020 - 31. 10. 2021</t>
  </si>
  <si>
    <t>Vyčleněná částka na pedagogické studijní programy pro rok 2022</t>
  </si>
  <si>
    <t>Přepočtená studia k 31. 10. 2021</t>
  </si>
  <si>
    <t>Rozpočtoví absolventi za období 1. 11. 2020 - 31. 10. 2021</t>
  </si>
  <si>
    <t>Rozpočtový okruh I, institucionální část rozpočtu - celkový výpočet na rok 2022</t>
  </si>
  <si>
    <t>Vyčleněná částka na pedagogické studijní programy s deficitními aprobacemi pro rok 2022</t>
  </si>
  <si>
    <t>Rozpočet 2022</t>
  </si>
  <si>
    <t>Vychází z výše minimální mzdy od roku 2022</t>
  </si>
  <si>
    <t xml:space="preserve">                 v tom navýšení pro segment 1</t>
  </si>
  <si>
    <t xml:space="preserve">C e l k e m </t>
  </si>
  <si>
    <t>Segment 1</t>
  </si>
  <si>
    <t>Segment 2</t>
  </si>
  <si>
    <t>Segment 3</t>
  </si>
  <si>
    <t>Segment 4</t>
  </si>
  <si>
    <t>Výše výkonové části pro rok 2022</t>
  </si>
  <si>
    <t>Segment</t>
  </si>
  <si>
    <t>Výkonová část bez navýšení pro segment 1</t>
  </si>
  <si>
    <t>Podíl segmentu v roce 2021</t>
  </si>
  <si>
    <t>Upravené podíly segmentů</t>
  </si>
  <si>
    <t>Nastavení podílů segmentů na výkonové části</t>
  </si>
  <si>
    <t>Nastavení podílů segmentů</t>
  </si>
  <si>
    <t>Veterinární univerzita Brno</t>
  </si>
  <si>
    <t>Maximální výše ročního příspěvku</t>
  </si>
  <si>
    <t>Institucionální (dříve decentralizované) plány - od r. 2022 - PPSŘ</t>
  </si>
  <si>
    <t>Kofinancování NPO</t>
  </si>
  <si>
    <t>Podpora ukrajinských studentů</t>
  </si>
  <si>
    <t>Finační prostředky bez navýšení pro segment 1 * podíl segmentu</t>
  </si>
  <si>
    <t>Finanční prostředky po navýšení segmentu 1</t>
  </si>
  <si>
    <t>Výkonová část RO I - 2022 - Segment 1</t>
  </si>
  <si>
    <t>Výkonová část RO I - 2022 - Segment 2</t>
  </si>
  <si>
    <t>Výkonová část RO I - 2022 - Segment 3</t>
  </si>
  <si>
    <t>Výkonová část RO I - 2022 - Segment 4</t>
  </si>
  <si>
    <t>Program na podporu strategického řízení VŠ pro rok 2022</t>
  </si>
  <si>
    <t>Janáčkova akademie múzických umění</t>
  </si>
  <si>
    <t>Podpora pedagogických fakult ve výši 115 000 000 Kč poskytována od roku 2019 skrze ukazatel P. Podpora pedagogických studijních programů ve výši 85 000 000 Kč poskytována od roku 2020 skrze ukazatel P. Podpora ve výši 30 000 000 Kč směřovaná na pedagogické studijní programy s deficitními aprobacemi (matematika, fyzika, chemie, biologie a informatika) poskytována od roku 2021 skrze ukazatel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</si>
</sst>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0\ &quot;Kč&quot;;[Red]\-#,##0\ &quot;Kč&quot;"/>
    <numFmt numFmtId="8" formatCode="#,##0.00\ &quot;Kč&quot;;[Red]\-#,##0.00\ &quot;Kč&quot;"/>
    <numFmt numFmtId="43" formatCode="_-* #,##0.00\ _K_č_-;\-* #,##0.00\ _K_č_-;_-* &quot;-&quot;??\ _K_č_-;_-@_-"/>
    <numFmt numFmtId="164" formatCode="0.000%"/>
    <numFmt numFmtId="165" formatCode="0.0%"/>
    <numFmt numFmtId="166" formatCode="#,##0\ &quot;Kč&quot;"/>
    <numFmt numFmtId="167" formatCode="#,##0.00\ &quot;Kč&quot;"/>
    <numFmt numFmtId="168" formatCode="0.0"/>
    <numFmt numFmtId="169" formatCode="#,##0.00_ ;[Red]\-#,##0.00\ "/>
    <numFmt numFmtId="170" formatCode="_-* #,##0\ [$Kč-405]_-;\-* #,##0\ [$Kč-405]_-;_-* &quot;-&quot;??\ [$Kč-405]_-;_-@_-"/>
    <numFmt numFmtId="171" formatCode="0.0000"/>
    <numFmt numFmtId="172" formatCode="#,##0.000"/>
    <numFmt numFmtId="173" formatCode="_-* #,##0.00\ [$Kč-405]_-;\-* #,##0.00\ [$Kč-405]_-;_-* &quot;-&quot;??\ [$Kč-405]_-;_-@_-"/>
    <numFmt numFmtId="174" formatCode="0_ ;\-0\ "/>
  </numFmts>
  <fonts count="63" x14ac:knownFonts="1">
    <font>
      <sz val="11"/>
      <color theme="1"/>
      <name val="Calibri"/>
      <family val="2"/>
      <charset val="238"/>
      <scheme val="minor"/>
    </font>
    <font>
      <sz val="11"/>
      <color theme="1"/>
      <name val="Calibri"/>
      <family val="2"/>
      <charset val="238"/>
      <scheme val="minor"/>
    </font>
    <font>
      <b/>
      <sz val="18"/>
      <name val="Arial"/>
      <family val="2"/>
      <charset val="238"/>
    </font>
    <font>
      <b/>
      <sz val="22"/>
      <name val="Arial"/>
      <family val="2"/>
      <charset val="238"/>
    </font>
    <font>
      <sz val="10"/>
      <name val="Arial"/>
      <family val="2"/>
      <charset val="238"/>
    </font>
    <font>
      <b/>
      <sz val="11"/>
      <name val="Arial"/>
      <family val="2"/>
      <charset val="238"/>
    </font>
    <font>
      <sz val="11"/>
      <name val="Arial"/>
      <family val="2"/>
      <charset val="238"/>
    </font>
    <font>
      <b/>
      <sz val="11"/>
      <color theme="1"/>
      <name val="Arial"/>
      <family val="2"/>
      <charset val="238"/>
    </font>
    <font>
      <sz val="11"/>
      <color theme="1"/>
      <name val="Arial"/>
      <family val="2"/>
      <charset val="238"/>
    </font>
    <font>
      <b/>
      <sz val="22"/>
      <name val="Calibri"/>
      <family val="2"/>
      <charset val="238"/>
      <scheme val="minor"/>
    </font>
    <font>
      <sz val="13.5"/>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Times New Roman CE"/>
      <charset val="238"/>
    </font>
    <font>
      <b/>
      <sz val="12"/>
      <name val="Arial"/>
      <family val="2"/>
      <charset val="238"/>
    </font>
    <font>
      <sz val="12"/>
      <name val="Arial"/>
      <family val="2"/>
      <charset val="238"/>
    </font>
    <font>
      <sz val="10"/>
      <name val="Arial CE"/>
      <charset val="238"/>
    </font>
    <font>
      <i/>
      <sz val="11"/>
      <name val="Arial"/>
      <family val="2"/>
      <charset val="238"/>
    </font>
    <font>
      <b/>
      <i/>
      <sz val="11"/>
      <color rgb="FF808080"/>
      <name val="Arial"/>
      <family val="2"/>
      <charset val="238"/>
    </font>
    <font>
      <i/>
      <sz val="11"/>
      <color indexed="23"/>
      <name val="Arial"/>
      <family val="2"/>
      <charset val="238"/>
    </font>
    <font>
      <b/>
      <i/>
      <sz val="11"/>
      <name val="Arial"/>
      <family val="2"/>
      <charset val="238"/>
    </font>
    <font>
      <i/>
      <sz val="11"/>
      <color rgb="FF808080"/>
      <name val="Arial"/>
      <family val="2"/>
      <charset val="238"/>
    </font>
    <font>
      <i/>
      <sz val="11"/>
      <color rgb="FFFF0000"/>
      <name val="Arial"/>
      <family val="2"/>
      <charset val="238"/>
    </font>
    <font>
      <b/>
      <i/>
      <sz val="12"/>
      <name val="Arial"/>
      <family val="2"/>
      <charset val="238"/>
    </font>
    <font>
      <i/>
      <sz val="11"/>
      <color theme="1"/>
      <name val="Arial"/>
      <family val="2"/>
      <charset val="238"/>
    </font>
    <font>
      <i/>
      <sz val="12"/>
      <name val="Arial"/>
      <family val="2"/>
      <charset val="238"/>
    </font>
    <font>
      <i/>
      <sz val="12"/>
      <color rgb="FF808080"/>
      <name val="Arial"/>
      <family val="2"/>
      <charset val="238"/>
    </font>
    <font>
      <b/>
      <i/>
      <sz val="12"/>
      <color rgb="FF808080"/>
      <name val="Arial"/>
      <family val="2"/>
      <charset val="238"/>
    </font>
    <font>
      <b/>
      <i/>
      <sz val="12"/>
      <color theme="1"/>
      <name val="Arial"/>
      <family val="2"/>
      <charset val="238"/>
    </font>
    <font>
      <sz val="11"/>
      <color rgb="FFFF0000"/>
      <name val="Arial"/>
      <family val="2"/>
      <charset val="238"/>
    </font>
    <font>
      <i/>
      <sz val="10"/>
      <name val="Arial"/>
      <family val="2"/>
      <charset val="238"/>
    </font>
    <font>
      <i/>
      <sz val="11"/>
      <color theme="0"/>
      <name val="Arial"/>
      <family val="2"/>
      <charset val="238"/>
    </font>
    <font>
      <sz val="11"/>
      <color theme="0"/>
      <name val="Arial"/>
      <family val="2"/>
      <charset val="238"/>
    </font>
    <font>
      <b/>
      <sz val="12"/>
      <color theme="1"/>
      <name val="Arial"/>
      <family val="2"/>
      <charset val="238"/>
    </font>
    <font>
      <vertAlign val="superscript"/>
      <sz val="11"/>
      <name val="Arial"/>
      <family val="2"/>
      <charset val="238"/>
    </font>
    <font>
      <b/>
      <sz val="15"/>
      <name val="Arial"/>
      <family val="2"/>
      <charset val="238"/>
    </font>
    <font>
      <b/>
      <sz val="16"/>
      <name val="Arial"/>
      <family val="2"/>
      <charset val="238"/>
    </font>
    <font>
      <b/>
      <sz val="20"/>
      <name val="Arial"/>
      <family val="2"/>
      <charset val="238"/>
    </font>
    <font>
      <sz val="10"/>
      <color theme="1"/>
      <name val="Arial"/>
      <family val="2"/>
      <charset val="238"/>
    </font>
    <font>
      <b/>
      <sz val="22"/>
      <color indexed="8"/>
      <name val="Arial"/>
      <family val="2"/>
      <charset val="238"/>
    </font>
    <font>
      <b/>
      <sz val="18"/>
      <color indexed="8"/>
      <name val="Arial"/>
      <family val="2"/>
      <charset val="238"/>
    </font>
    <font>
      <b/>
      <sz val="16"/>
      <color indexed="8"/>
      <name val="Arial"/>
      <family val="2"/>
      <charset val="238"/>
    </font>
    <font>
      <b/>
      <sz val="15"/>
      <color indexed="8"/>
      <name val="Arial"/>
      <family val="2"/>
      <charset val="238"/>
    </font>
    <font>
      <b/>
      <sz val="10"/>
      <color rgb="FFFF0000"/>
      <name val="Arial"/>
      <family val="2"/>
      <charset val="238"/>
    </font>
    <font>
      <b/>
      <sz val="10"/>
      <name val="Arial"/>
      <family val="2"/>
      <charset val="238"/>
    </font>
    <font>
      <sz val="11"/>
      <name val="Times New Roman CE"/>
      <family val="1"/>
      <charset val="238"/>
    </font>
    <font>
      <b/>
      <sz val="22"/>
      <color theme="1"/>
      <name val="Arial"/>
      <family val="2"/>
      <charset val="238"/>
    </font>
    <font>
      <b/>
      <sz val="16"/>
      <color theme="1"/>
      <name val="Arial"/>
      <family val="2"/>
      <charset val="238"/>
    </font>
    <font>
      <sz val="11"/>
      <color indexed="8"/>
      <name val="Arial"/>
      <family val="2"/>
      <charset val="238"/>
    </font>
    <font>
      <b/>
      <sz val="22"/>
      <color rgb="FFFF0000"/>
      <name val="Arial"/>
      <family val="2"/>
      <charset val="238"/>
    </font>
    <font>
      <b/>
      <sz val="10"/>
      <color theme="1"/>
      <name val="Arial"/>
      <family val="2"/>
      <charset val="238"/>
    </font>
    <font>
      <b/>
      <sz val="11"/>
      <color indexed="8"/>
      <name val="Arial"/>
      <family val="2"/>
      <charset val="238"/>
    </font>
    <font>
      <sz val="10"/>
      <color theme="1"/>
      <name val="Calibri"/>
      <family val="2"/>
      <charset val="238"/>
      <scheme val="minor"/>
    </font>
    <font>
      <b/>
      <sz val="10"/>
      <color theme="1"/>
      <name val="Calibri"/>
      <family val="2"/>
      <charset val="238"/>
      <scheme val="minor"/>
    </font>
    <font>
      <u/>
      <sz val="10"/>
      <name val="Arial"/>
      <family val="2"/>
      <charset val="238"/>
    </font>
    <font>
      <b/>
      <vertAlign val="superscript"/>
      <sz val="11"/>
      <name val="Arial"/>
      <family val="2"/>
      <charset val="238"/>
    </font>
    <font>
      <i/>
      <vertAlign val="superscript"/>
      <sz val="11"/>
      <name val="Arial"/>
      <family val="2"/>
      <charset val="238"/>
    </font>
    <font>
      <sz val="22"/>
      <name val="Arial"/>
      <family val="2"/>
      <charset val="238"/>
    </font>
    <font>
      <u/>
      <sz val="11"/>
      <name val="Arial"/>
      <family val="2"/>
      <charset val="238"/>
    </font>
    <font>
      <b/>
      <sz val="10"/>
      <color indexed="8"/>
      <name val="Calibri"/>
      <family val="2"/>
      <charset val="238"/>
    </font>
    <font>
      <sz val="10"/>
      <color indexed="8"/>
      <name val="Calibri"/>
      <family val="2"/>
      <charset val="238"/>
    </font>
    <font>
      <vertAlign val="superscript"/>
      <sz val="14"/>
      <name val="Arial"/>
      <family val="2"/>
      <charset val="238"/>
    </font>
    <font>
      <sz val="11"/>
      <name val="Calibri"/>
      <family val="2"/>
      <charset val="238"/>
      <scheme val="minor"/>
    </font>
  </fonts>
  <fills count="16">
    <fill>
      <patternFill patternType="none"/>
    </fill>
    <fill>
      <patternFill patternType="gray125"/>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A9D08E"/>
        <bgColor indexed="64"/>
      </patternFill>
    </fill>
    <fill>
      <patternFill patternType="solid">
        <fgColor rgb="FFFFD966"/>
        <bgColor indexed="64"/>
      </patternFill>
    </fill>
    <fill>
      <patternFill patternType="solid">
        <fgColor rgb="FFF4B084"/>
        <bgColor indexed="64"/>
      </patternFill>
    </fill>
    <fill>
      <patternFill patternType="solid">
        <fgColor rgb="FF9BC2E6"/>
        <bgColor indexed="64"/>
      </patternFill>
    </fill>
  </fills>
  <borders count="1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theme="9" tint="-0.499984740745262"/>
      </right>
      <top style="medium">
        <color indexed="64"/>
      </top>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thin">
        <color indexed="64"/>
      </right>
      <top style="medium">
        <color indexed="64"/>
      </top>
      <bottom/>
      <diagonal/>
    </border>
    <border>
      <left style="medium">
        <color indexed="64"/>
      </left>
      <right style="medium">
        <color theme="1"/>
      </right>
      <top style="medium">
        <color theme="9" tint="-0.499984740745262"/>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theme="9" tint="-0.499984740745262"/>
      </right>
      <top/>
      <bottom/>
      <diagonal/>
    </border>
    <border>
      <left style="medium">
        <color theme="9" tint="-0.499984740745262"/>
      </left>
      <right style="medium">
        <color theme="9" tint="-0.499984740745262"/>
      </right>
      <top/>
      <bottom/>
      <diagonal/>
    </border>
    <border>
      <left style="medium">
        <color theme="9" tint="-0.499984740745262"/>
      </left>
      <right style="thin">
        <color indexed="64"/>
      </right>
      <top/>
      <bottom/>
      <diagonal/>
    </border>
    <border>
      <left style="medium">
        <color indexed="64"/>
      </left>
      <right style="medium">
        <color theme="1"/>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theme="9" tint="-0.499984740745262"/>
      </right>
      <top/>
      <bottom style="medium">
        <color indexed="64"/>
      </bottom>
      <diagonal/>
    </border>
    <border>
      <left style="medium">
        <color theme="9" tint="-0.499984740745262"/>
      </left>
      <right style="medium">
        <color theme="9" tint="-0.499984740745262"/>
      </right>
      <top/>
      <bottom style="medium">
        <color indexed="64"/>
      </bottom>
      <diagonal/>
    </border>
    <border>
      <left style="medium">
        <color theme="9" tint="-0.499984740745262"/>
      </left>
      <right style="thin">
        <color indexed="64"/>
      </right>
      <top/>
      <bottom style="medium">
        <color indexed="64"/>
      </bottom>
      <diagonal/>
    </border>
    <border>
      <left style="medium">
        <color indexed="64"/>
      </left>
      <right style="medium">
        <color theme="1"/>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theme="9" tint="-0.499984740745262"/>
      </left>
      <right style="medium">
        <color theme="9" tint="-0.499984740745262"/>
      </right>
      <top style="medium">
        <color indexed="64"/>
      </top>
      <bottom/>
      <diagonal/>
    </border>
    <border>
      <left style="medium">
        <color indexed="64"/>
      </left>
      <right style="medium">
        <color theme="1"/>
      </right>
      <top style="medium">
        <color indexed="64"/>
      </top>
      <bottom/>
      <diagonal/>
    </border>
    <border>
      <left/>
      <right/>
      <top style="thin">
        <color indexed="64"/>
      </top>
      <bottom/>
      <diagonal/>
    </border>
    <border>
      <left style="medium">
        <color theme="9" tint="-0.499984740745262"/>
      </left>
      <right style="medium">
        <color theme="9" tint="-0.499984740745262"/>
      </right>
      <top style="thin">
        <color indexed="64"/>
      </top>
      <bottom/>
      <diagonal/>
    </border>
    <border>
      <left style="medium">
        <color indexed="64"/>
      </left>
      <right style="medium">
        <color theme="1"/>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9" tint="-0.499984740745262"/>
      </left>
      <right style="medium">
        <color theme="9" tint="-0.499984740745262"/>
      </right>
      <top style="thin">
        <color indexed="64"/>
      </top>
      <bottom style="medium">
        <color indexed="64"/>
      </bottom>
      <diagonal/>
    </border>
    <border>
      <left style="medium">
        <color indexed="64"/>
      </left>
      <right style="medium">
        <color theme="1"/>
      </right>
      <top style="thin">
        <color indexed="64"/>
      </top>
      <bottom style="medium">
        <color indexed="64"/>
      </bottom>
      <diagonal/>
    </border>
    <border>
      <left style="medium">
        <color theme="9" tint="-0.499984740745262"/>
      </left>
      <right style="medium">
        <color theme="9" tint="-0.499984740745262"/>
      </right>
      <top style="thin">
        <color indexed="64"/>
      </top>
      <bottom style="thin">
        <color indexed="64"/>
      </bottom>
      <diagonal/>
    </border>
    <border>
      <left style="medium">
        <color indexed="64"/>
      </left>
      <right style="medium">
        <color theme="1"/>
      </right>
      <top style="thin">
        <color indexed="64"/>
      </top>
      <bottom style="thin">
        <color indexed="64"/>
      </bottom>
      <diagonal/>
    </border>
    <border>
      <left style="medium">
        <color theme="9" tint="-0.499984740745262"/>
      </left>
      <right style="medium">
        <color theme="9" tint="-0.499984740745262"/>
      </right>
      <top/>
      <bottom style="thin">
        <color indexed="64"/>
      </bottom>
      <diagonal/>
    </border>
    <border>
      <left style="medium">
        <color indexed="64"/>
      </left>
      <right style="medium">
        <color theme="1"/>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theme="9" tint="-0.499984740745262"/>
      </left>
      <right style="medium">
        <color theme="9" tint="-0.499984740745262"/>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indexed="64"/>
      </bottom>
      <diagonal/>
    </border>
    <border>
      <left style="medium">
        <color theme="9" tint="-0.499984740745262"/>
      </left>
      <right style="medium">
        <color theme="9" tint="-0.499984740745262"/>
      </right>
      <top style="medium">
        <color indexed="64"/>
      </top>
      <bottom style="thin">
        <color indexed="64"/>
      </bottom>
      <diagonal/>
    </border>
    <border>
      <left style="medium">
        <color indexed="64"/>
      </left>
      <right style="medium">
        <color theme="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14">
    <xf numFmtId="0" fontId="0" fillId="0" borderId="0"/>
    <xf numFmtId="9" fontId="1" fillId="0" borderId="0" applyFont="0" applyFill="0" applyBorder="0" applyAlignment="0" applyProtection="0"/>
    <xf numFmtId="0" fontId="2" fillId="0" borderId="0" applyFont="0"/>
    <xf numFmtId="0" fontId="4" fillId="0" borderId="0"/>
    <xf numFmtId="0" fontId="4" fillId="0" borderId="0"/>
    <xf numFmtId="0" fontId="1" fillId="0" borderId="0"/>
    <xf numFmtId="0" fontId="4" fillId="0" borderId="0"/>
    <xf numFmtId="9" fontId="1" fillId="0" borderId="0" applyFont="0" applyFill="0" applyBorder="0" applyAlignment="0" applyProtection="0"/>
    <xf numFmtId="0" fontId="1" fillId="0" borderId="0"/>
    <xf numFmtId="0" fontId="11" fillId="0" borderId="0" applyNumberFormat="0" applyFill="0" applyBorder="0" applyAlignment="0" applyProtection="0"/>
    <xf numFmtId="0" fontId="13" fillId="0" borderId="0"/>
    <xf numFmtId="0" fontId="16" fillId="0" borderId="0"/>
    <xf numFmtId="0" fontId="45" fillId="0" borderId="0"/>
    <xf numFmtId="43" fontId="1" fillId="0" borderId="0" applyFont="0" applyFill="0" applyBorder="0" applyAlignment="0" applyProtection="0"/>
  </cellStyleXfs>
  <cellXfs count="1183">
    <xf numFmtId="0" fontId="0" fillId="0" borderId="0" xfId="0"/>
    <xf numFmtId="0" fontId="0" fillId="0" borderId="0" xfId="0"/>
    <xf numFmtId="3" fontId="8" fillId="0" borderId="17" xfId="8" applyNumberFormat="1" applyFont="1" applyBorder="1" applyAlignment="1">
      <alignment horizontal="right" vertical="center" indent="1"/>
    </xf>
    <xf numFmtId="3" fontId="8" fillId="0" borderId="18" xfId="8" applyNumberFormat="1" applyFont="1" applyBorder="1" applyAlignment="1">
      <alignment horizontal="right" vertical="center" indent="1"/>
    </xf>
    <xf numFmtId="10" fontId="6" fillId="0" borderId="20" xfId="7" applyNumberFormat="1" applyFont="1" applyFill="1" applyBorder="1" applyAlignment="1">
      <alignment horizontal="right" vertical="center" indent="1"/>
    </xf>
    <xf numFmtId="3" fontId="8" fillId="0" borderId="14" xfId="8" applyNumberFormat="1" applyFont="1" applyBorder="1" applyAlignment="1">
      <alignment horizontal="right" vertical="center" indent="1"/>
    </xf>
    <xf numFmtId="3" fontId="8" fillId="0" borderId="21" xfId="8" applyNumberFormat="1" applyFont="1" applyBorder="1" applyAlignment="1">
      <alignment horizontal="right" vertical="center" indent="1"/>
    </xf>
    <xf numFmtId="3" fontId="8" fillId="0" borderId="34" xfId="8" applyNumberFormat="1" applyFont="1" applyBorder="1" applyAlignment="1">
      <alignment horizontal="right" vertical="center" indent="1"/>
    </xf>
    <xf numFmtId="3" fontId="8" fillId="0" borderId="35" xfId="8" applyNumberFormat="1" applyFont="1" applyBorder="1" applyAlignment="1">
      <alignment horizontal="right" vertical="center" indent="1"/>
    </xf>
    <xf numFmtId="10" fontId="7" fillId="0" borderId="1" xfId="8" applyNumberFormat="1" applyFont="1" applyBorder="1" applyAlignment="1">
      <alignment horizontal="right" vertical="center" indent="1"/>
    </xf>
    <xf numFmtId="3" fontId="7" fillId="0" borderId="2" xfId="8" applyNumberFormat="1" applyFont="1" applyBorder="1" applyAlignment="1">
      <alignment horizontal="right" vertical="center" indent="1"/>
    </xf>
    <xf numFmtId="3" fontId="7" fillId="0" borderId="3" xfId="8" applyNumberFormat="1" applyFont="1" applyBorder="1" applyAlignment="1">
      <alignment horizontal="right" vertical="center" indent="1"/>
    </xf>
    <xf numFmtId="3" fontId="0" fillId="0" borderId="0" xfId="0" applyNumberFormat="1"/>
    <xf numFmtId="0" fontId="3" fillId="0" borderId="0" xfId="8" applyFont="1"/>
    <xf numFmtId="0" fontId="8" fillId="0" borderId="0" xfId="8" applyFont="1"/>
    <xf numFmtId="0" fontId="9" fillId="0" borderId="0" xfId="8" applyFont="1"/>
    <xf numFmtId="0" fontId="1" fillId="0" borderId="0" xfId="8"/>
    <xf numFmtId="0" fontId="7" fillId="0" borderId="0" xfId="8" applyFont="1"/>
    <xf numFmtId="3" fontId="7" fillId="0" borderId="0" xfId="8" applyNumberFormat="1" applyFont="1"/>
    <xf numFmtId="0" fontId="1" fillId="0" borderId="0" xfId="8" applyBorder="1"/>
    <xf numFmtId="0" fontId="1" fillId="0" borderId="0" xfId="8" applyAlignment="1">
      <alignment horizontal="right"/>
    </xf>
    <xf numFmtId="3" fontId="8" fillId="0" borderId="19" xfId="8" applyNumberFormat="1" applyFont="1" applyBorder="1" applyAlignment="1">
      <alignment horizontal="right" vertical="center" indent="1"/>
    </xf>
    <xf numFmtId="10" fontId="6" fillId="0" borderId="16" xfId="7" applyNumberFormat="1" applyFont="1" applyFill="1" applyBorder="1" applyAlignment="1">
      <alignment horizontal="right" vertical="center" indent="1"/>
    </xf>
    <xf numFmtId="3" fontId="8" fillId="0" borderId="37" xfId="8" applyNumberFormat="1" applyFont="1" applyBorder="1" applyAlignment="1">
      <alignment horizontal="right" vertical="center" indent="1"/>
    </xf>
    <xf numFmtId="3" fontId="7" fillId="0" borderId="4" xfId="8" applyNumberFormat="1" applyFont="1" applyBorder="1" applyAlignment="1">
      <alignment horizontal="right" vertical="center" indent="1"/>
    </xf>
    <xf numFmtId="10" fontId="7" fillId="0" borderId="41" xfId="8" applyNumberFormat="1" applyFont="1" applyBorder="1" applyAlignment="1">
      <alignment horizontal="right" vertical="center" indent="1"/>
    </xf>
    <xf numFmtId="0" fontId="10" fillId="0" borderId="0" xfId="8" applyFont="1"/>
    <xf numFmtId="3" fontId="1" fillId="0" borderId="0" xfId="8" applyNumberFormat="1"/>
    <xf numFmtId="164" fontId="7" fillId="0" borderId="0" xfId="1" applyNumberFormat="1" applyFont="1"/>
    <xf numFmtId="164" fontId="7" fillId="0" borderId="0" xfId="1" applyNumberFormat="1" applyFont="1" applyBorder="1"/>
    <xf numFmtId="0" fontId="8" fillId="0" borderId="20" xfId="8" applyFont="1" applyBorder="1" applyAlignment="1">
      <alignment horizontal="center" vertical="center"/>
    </xf>
    <xf numFmtId="0" fontId="8" fillId="0" borderId="43" xfId="8" applyFont="1" applyBorder="1" applyAlignment="1">
      <alignment horizontal="center" vertical="center"/>
    </xf>
    <xf numFmtId="10" fontId="6" fillId="0" borderId="44" xfId="7" applyNumberFormat="1" applyFont="1" applyFill="1" applyBorder="1" applyAlignment="1">
      <alignment horizontal="right" vertical="center" indent="1"/>
    </xf>
    <xf numFmtId="0" fontId="8" fillId="0" borderId="12" xfId="5" applyFont="1" applyBorder="1" applyAlignment="1">
      <alignment horizontal="left" vertical="center" wrapText="1" indent="1"/>
    </xf>
    <xf numFmtId="0" fontId="8" fillId="0" borderId="19" xfId="5" applyFont="1" applyBorder="1" applyAlignment="1">
      <alignment horizontal="left" vertical="center" wrapText="1" indent="1"/>
    </xf>
    <xf numFmtId="10" fontId="8" fillId="0" borderId="43" xfId="8" applyNumberFormat="1" applyFont="1" applyBorder="1" applyAlignment="1">
      <alignment horizontal="right" vertical="center" indent="1"/>
    </xf>
    <xf numFmtId="10" fontId="8" fillId="0" borderId="20" xfId="8" applyNumberFormat="1" applyFont="1" applyBorder="1" applyAlignment="1">
      <alignment horizontal="right" vertical="center" indent="1"/>
    </xf>
    <xf numFmtId="0" fontId="8" fillId="0" borderId="33" xfId="8" applyFont="1" applyBorder="1" applyAlignment="1">
      <alignment horizontal="center" vertical="center"/>
    </xf>
    <xf numFmtId="0" fontId="8" fillId="0" borderId="37" xfId="5" applyFont="1" applyBorder="1" applyAlignment="1">
      <alignment horizontal="left" vertical="center" wrapText="1" indent="1"/>
    </xf>
    <xf numFmtId="10" fontId="6" fillId="0" borderId="36" xfId="7" applyNumberFormat="1" applyFont="1" applyFill="1" applyBorder="1" applyAlignment="1">
      <alignment horizontal="right" vertical="center" indent="1"/>
    </xf>
    <xf numFmtId="0" fontId="7" fillId="0" borderId="0" xfId="8" applyFont="1" applyBorder="1" applyAlignment="1"/>
    <xf numFmtId="0" fontId="11" fillId="0" borderId="0" xfId="9"/>
    <xf numFmtId="0" fontId="0" fillId="0" borderId="0" xfId="0" applyAlignment="1">
      <alignment horizontal="right"/>
    </xf>
    <xf numFmtId="0" fontId="0" fillId="0" borderId="0" xfId="0"/>
    <xf numFmtId="0" fontId="5" fillId="6" borderId="0" xfId="10" applyFont="1" applyFill="1" applyAlignment="1">
      <alignment horizontal="left" vertical="center"/>
    </xf>
    <xf numFmtId="0" fontId="5" fillId="6" borderId="0" xfId="10" applyFont="1" applyFill="1" applyAlignment="1">
      <alignment vertical="center"/>
    </xf>
    <xf numFmtId="0" fontId="6" fillId="6" borderId="0" xfId="10" applyFont="1" applyFill="1" applyAlignment="1">
      <alignment vertical="center"/>
    </xf>
    <xf numFmtId="0" fontId="6" fillId="6" borderId="0" xfId="10" applyFont="1" applyFill="1" applyBorder="1" applyAlignment="1">
      <alignment vertical="center"/>
    </xf>
    <xf numFmtId="165" fontId="6" fillId="6" borderId="0" xfId="10" applyNumberFormat="1" applyFont="1" applyFill="1" applyBorder="1" applyAlignment="1">
      <alignment horizontal="right" vertical="center"/>
    </xf>
    <xf numFmtId="165" fontId="6" fillId="6" borderId="0" xfId="10" applyNumberFormat="1" applyFont="1" applyFill="1" applyAlignment="1">
      <alignment vertical="center"/>
    </xf>
    <xf numFmtId="0" fontId="6" fillId="6" borderId="0" xfId="10" applyFont="1" applyFill="1" applyAlignment="1">
      <alignment horizontal="right" vertical="center"/>
    </xf>
    <xf numFmtId="0" fontId="0" fillId="6" borderId="0" xfId="0" applyFill="1"/>
    <xf numFmtId="0" fontId="14" fillId="6" borderId="2" xfId="10" applyFont="1" applyFill="1" applyBorder="1" applyAlignment="1">
      <alignment horizontal="center" vertical="center" wrapText="1"/>
    </xf>
    <xf numFmtId="0" fontId="14" fillId="6" borderId="3" xfId="10"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7" borderId="2" xfId="10" applyFont="1" applyFill="1" applyBorder="1" applyAlignment="1">
      <alignment horizontal="center" vertical="center" wrapText="1"/>
    </xf>
    <xf numFmtId="0" fontId="15" fillId="6" borderId="6" xfId="10" applyFont="1" applyFill="1" applyBorder="1" applyAlignment="1">
      <alignment horizontal="center" vertical="center" wrapText="1"/>
    </xf>
    <xf numFmtId="3" fontId="5" fillId="6" borderId="10" xfId="10" applyNumberFormat="1" applyFont="1" applyFill="1" applyBorder="1" applyAlignment="1">
      <alignment horizontal="center" vertical="center" wrapText="1"/>
    </xf>
    <xf numFmtId="3" fontId="5" fillId="6" borderId="11" xfId="10" applyNumberFormat="1" applyFont="1" applyFill="1" applyBorder="1" applyAlignment="1">
      <alignment horizontal="center" vertical="center" wrapText="1"/>
    </xf>
    <xf numFmtId="3" fontId="5" fillId="0" borderId="10" xfId="10" applyNumberFormat="1" applyFont="1" applyFill="1" applyBorder="1" applyAlignment="1">
      <alignment horizontal="center" vertical="center"/>
    </xf>
    <xf numFmtId="6" fontId="5" fillId="6" borderId="14" xfId="10" applyNumberFormat="1" applyFont="1" applyFill="1" applyBorder="1" applyAlignment="1">
      <alignment horizontal="center" vertical="center"/>
    </xf>
    <xf numFmtId="166" fontId="5" fillId="7" borderId="11" xfId="10" applyNumberFormat="1" applyFont="1" applyFill="1" applyBorder="1" applyAlignment="1">
      <alignment horizontal="center" vertical="center"/>
    </xf>
    <xf numFmtId="10" fontId="6" fillId="6" borderId="15" xfId="10" applyNumberFormat="1" applyFont="1" applyFill="1" applyBorder="1" applyAlignment="1">
      <alignment horizontal="center" vertical="center"/>
    </xf>
    <xf numFmtId="3" fontId="5" fillId="6" borderId="18" xfId="10" applyNumberFormat="1" applyFont="1" applyFill="1" applyBorder="1" applyAlignment="1">
      <alignment horizontal="center" vertical="center" wrapText="1"/>
    </xf>
    <xf numFmtId="3" fontId="5" fillId="0" borderId="17" xfId="10" applyNumberFormat="1" applyFont="1" applyFill="1" applyBorder="1" applyAlignment="1">
      <alignment horizontal="center" vertical="center"/>
    </xf>
    <xf numFmtId="10" fontId="6" fillId="6" borderId="19" xfId="10" applyNumberFormat="1" applyFont="1" applyFill="1" applyBorder="1" applyAlignment="1">
      <alignment horizontal="center" vertical="center"/>
    </xf>
    <xf numFmtId="166" fontId="5" fillId="7" borderId="21" xfId="10" applyNumberFormat="1" applyFont="1" applyFill="1" applyBorder="1" applyAlignment="1">
      <alignment horizontal="center" vertical="center"/>
    </xf>
    <xf numFmtId="3" fontId="5" fillId="6" borderId="23" xfId="10" applyNumberFormat="1" applyFont="1" applyFill="1" applyBorder="1" applyAlignment="1">
      <alignment horizontal="center" vertical="center" wrapText="1"/>
    </xf>
    <xf numFmtId="3" fontId="5" fillId="6" borderId="24" xfId="10" applyNumberFormat="1" applyFont="1" applyFill="1" applyBorder="1" applyAlignment="1">
      <alignment horizontal="center" vertical="center" wrapText="1"/>
    </xf>
    <xf numFmtId="3" fontId="5" fillId="0" borderId="23" xfId="10" applyNumberFormat="1" applyFont="1" applyFill="1" applyBorder="1" applyAlignment="1">
      <alignment horizontal="center" vertical="center"/>
    </xf>
    <xf numFmtId="10" fontId="0" fillId="6" borderId="0" xfId="1" applyNumberFormat="1" applyFont="1" applyFill="1"/>
    <xf numFmtId="8" fontId="5" fillId="6" borderId="23" xfId="10" applyNumberFormat="1" applyFont="1" applyFill="1" applyBorder="1" applyAlignment="1">
      <alignment horizontal="center" vertical="center"/>
    </xf>
    <xf numFmtId="167" fontId="5" fillId="7" borderId="24" xfId="10" applyNumberFormat="1" applyFont="1" applyFill="1" applyBorder="1" applyAlignment="1">
      <alignment horizontal="center" vertical="center"/>
    </xf>
    <xf numFmtId="10" fontId="6" fillId="6" borderId="26" xfId="10" applyNumberFormat="1" applyFont="1" applyFill="1" applyBorder="1" applyAlignment="1">
      <alignment horizontal="center" vertical="center"/>
    </xf>
    <xf numFmtId="0" fontId="5" fillId="6" borderId="0" xfId="10" applyFont="1" applyFill="1" applyBorder="1" applyAlignment="1">
      <alignment horizontal="left" vertical="center" wrapText="1"/>
    </xf>
    <xf numFmtId="1" fontId="5" fillId="0" borderId="1"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30" xfId="10" applyNumberFormat="1" applyFont="1" applyFill="1" applyBorder="1" applyAlignment="1">
      <alignment horizontal="center" vertical="center"/>
    </xf>
    <xf numFmtId="1" fontId="18" fillId="0" borderId="29" xfId="10" applyNumberFormat="1" applyFont="1" applyFill="1" applyBorder="1" applyAlignment="1">
      <alignment horizontal="center" vertical="center"/>
    </xf>
    <xf numFmtId="1" fontId="18" fillId="0" borderId="32" xfId="10" applyNumberFormat="1" applyFont="1" applyFill="1" applyBorder="1" applyAlignment="1">
      <alignment horizontal="center" vertical="center"/>
    </xf>
    <xf numFmtId="1" fontId="7" fillId="8" borderId="74" xfId="10" applyNumberFormat="1" applyFont="1" applyFill="1" applyBorder="1" applyAlignment="1">
      <alignment horizontal="center" vertical="center"/>
    </xf>
    <xf numFmtId="1" fontId="18" fillId="0" borderId="31" xfId="10" applyNumberFormat="1" applyFont="1" applyFill="1" applyBorder="1" applyAlignment="1">
      <alignment horizontal="center" vertical="center"/>
    </xf>
    <xf numFmtId="1" fontId="7" fillId="7" borderId="76" xfId="10" applyNumberFormat="1" applyFont="1" applyFill="1" applyBorder="1" applyAlignment="1">
      <alignment horizontal="center" vertical="center"/>
    </xf>
    <xf numFmtId="0" fontId="17" fillId="6" borderId="64" xfId="10" applyFont="1" applyFill="1" applyBorder="1" applyAlignment="1">
      <alignment vertical="center"/>
    </xf>
    <xf numFmtId="0" fontId="17" fillId="6" borderId="0" xfId="10" applyFont="1" applyFill="1" applyBorder="1" applyAlignment="1">
      <alignment vertical="center"/>
    </xf>
    <xf numFmtId="0" fontId="20" fillId="6" borderId="0" xfId="10" applyFont="1" applyFill="1" applyBorder="1" applyAlignment="1">
      <alignment vertical="center"/>
    </xf>
    <xf numFmtId="3" fontId="17" fillId="6" borderId="0" xfId="10" applyNumberFormat="1" applyFont="1" applyFill="1" applyBorder="1" applyAlignment="1">
      <alignment horizontal="center" vertical="center"/>
    </xf>
    <xf numFmtId="10" fontId="21" fillId="6" borderId="0" xfId="10" applyNumberFormat="1" applyFont="1" applyFill="1" applyBorder="1" applyAlignment="1">
      <alignment horizontal="center" vertical="center"/>
    </xf>
    <xf numFmtId="0" fontId="21" fillId="6" borderId="0" xfId="10" applyFont="1" applyFill="1" applyBorder="1" applyAlignment="1">
      <alignment vertical="center"/>
    </xf>
    <xf numFmtId="3" fontId="22" fillId="8" borderId="68" xfId="10" applyNumberFormat="1" applyFont="1" applyFill="1" applyBorder="1" applyAlignment="1">
      <alignment horizontal="center" vertical="center"/>
    </xf>
    <xf numFmtId="0" fontId="21" fillId="6" borderId="78" xfId="10" applyFont="1" applyFill="1" applyBorder="1" applyAlignment="1">
      <alignment vertical="center"/>
    </xf>
    <xf numFmtId="3" fontId="22" fillId="7" borderId="70" xfId="10" applyNumberFormat="1" applyFont="1" applyFill="1" applyBorder="1" applyAlignment="1">
      <alignment horizontal="center" vertical="center"/>
    </xf>
    <xf numFmtId="0" fontId="23" fillId="6" borderId="0" xfId="10" applyFont="1" applyFill="1" applyBorder="1" applyAlignment="1">
      <alignment vertical="center"/>
    </xf>
    <xf numFmtId="3" fontId="24" fillId="8" borderId="68" xfId="10" applyNumberFormat="1" applyFont="1" applyFill="1" applyBorder="1" applyAlignment="1">
      <alignment horizontal="center" vertical="center"/>
    </xf>
    <xf numFmtId="3" fontId="24" fillId="7" borderId="70" xfId="10" applyNumberFormat="1" applyFont="1" applyFill="1" applyBorder="1" applyAlignment="1">
      <alignment horizontal="center" vertical="center"/>
    </xf>
    <xf numFmtId="0" fontId="17" fillId="6" borderId="13" xfId="10" applyFont="1" applyFill="1" applyBorder="1" applyAlignment="1">
      <alignment vertical="center"/>
    </xf>
    <xf numFmtId="0" fontId="17" fillId="6" borderId="10" xfId="10" applyFont="1" applyFill="1" applyBorder="1" applyAlignment="1">
      <alignment vertical="center"/>
    </xf>
    <xf numFmtId="3" fontId="6" fillId="6" borderId="52" xfId="10" applyNumberFormat="1" applyFont="1" applyFill="1" applyBorder="1" applyAlignment="1">
      <alignment vertical="center"/>
    </xf>
    <xf numFmtId="165" fontId="21" fillId="6" borderId="58" xfId="10" applyNumberFormat="1" applyFont="1" applyFill="1" applyBorder="1" applyAlignment="1">
      <alignment vertical="center"/>
    </xf>
    <xf numFmtId="165" fontId="21" fillId="6" borderId="55" xfId="10" applyNumberFormat="1" applyFont="1" applyFill="1" applyBorder="1" applyAlignment="1">
      <alignment vertical="center"/>
    </xf>
    <xf numFmtId="3" fontId="8" fillId="8" borderId="79" xfId="10" applyNumberFormat="1" applyFont="1" applyFill="1" applyBorder="1" applyAlignment="1">
      <alignment vertical="center"/>
    </xf>
    <xf numFmtId="165" fontId="21" fillId="6" borderId="6" xfId="10" applyNumberFormat="1" applyFont="1" applyFill="1" applyBorder="1" applyAlignment="1">
      <alignment vertical="center"/>
    </xf>
    <xf numFmtId="3" fontId="8" fillId="7" borderId="80" xfId="10" applyNumberFormat="1" applyFont="1" applyFill="1" applyBorder="1" applyAlignment="1">
      <alignment vertical="center"/>
    </xf>
    <xf numFmtId="0" fontId="17" fillId="6" borderId="33" xfId="10" applyFont="1" applyFill="1" applyBorder="1" applyAlignment="1">
      <alignment vertical="center"/>
    </xf>
    <xf numFmtId="0" fontId="17" fillId="6" borderId="34" xfId="10" applyFont="1" applyFill="1" applyBorder="1" applyAlignment="1">
      <alignment vertical="center" wrapText="1"/>
    </xf>
    <xf numFmtId="3" fontId="6" fillId="6" borderId="34" xfId="10" applyNumberFormat="1" applyFont="1" applyFill="1" applyBorder="1" applyAlignment="1">
      <alignment vertical="center"/>
    </xf>
    <xf numFmtId="165" fontId="21" fillId="6" borderId="36" xfId="10" applyNumberFormat="1" applyFont="1" applyFill="1" applyBorder="1" applyAlignment="1">
      <alignment vertical="center"/>
    </xf>
    <xf numFmtId="165" fontId="21" fillId="6" borderId="35" xfId="10" applyNumberFormat="1" applyFont="1" applyFill="1" applyBorder="1" applyAlignment="1">
      <alignment horizontal="right" vertical="center"/>
    </xf>
    <xf numFmtId="3" fontId="8" fillId="8" borderId="82" xfId="10" applyNumberFormat="1" applyFont="1" applyFill="1" applyBorder="1" applyAlignment="1">
      <alignment vertical="center"/>
    </xf>
    <xf numFmtId="165" fontId="21" fillId="6" borderId="37" xfId="10" applyNumberFormat="1" applyFont="1" applyFill="1" applyBorder="1" applyAlignment="1">
      <alignment horizontal="right" vertical="center"/>
    </xf>
    <xf numFmtId="3" fontId="8" fillId="7" borderId="83" xfId="10" applyNumberFormat="1" applyFont="1" applyFill="1" applyBorder="1" applyAlignment="1">
      <alignment vertical="center"/>
    </xf>
    <xf numFmtId="0" fontId="17" fillId="6" borderId="22" xfId="10" applyFont="1" applyFill="1" applyBorder="1" applyAlignment="1">
      <alignment vertical="center"/>
    </xf>
    <xf numFmtId="0" fontId="17" fillId="6" borderId="23" xfId="10" applyFont="1" applyFill="1" applyBorder="1" applyAlignment="1">
      <alignment vertical="center" wrapText="1"/>
    </xf>
    <xf numFmtId="3" fontId="6" fillId="6" borderId="23" xfId="10" applyNumberFormat="1" applyFont="1" applyFill="1" applyBorder="1" applyAlignment="1">
      <alignment vertical="center"/>
    </xf>
    <xf numFmtId="165" fontId="21" fillId="6" borderId="85" xfId="10" applyNumberFormat="1" applyFont="1" applyFill="1" applyBorder="1" applyAlignment="1">
      <alignment vertical="center"/>
    </xf>
    <xf numFmtId="165" fontId="21" fillId="6" borderId="24" xfId="10" applyNumberFormat="1" applyFont="1" applyFill="1" applyBorder="1" applyAlignment="1">
      <alignment horizontal="right" vertical="center"/>
    </xf>
    <xf numFmtId="3" fontId="8" fillId="8" borderId="86" xfId="10" applyNumberFormat="1" applyFont="1" applyFill="1" applyBorder="1" applyAlignment="1">
      <alignment vertical="center"/>
    </xf>
    <xf numFmtId="165" fontId="21" fillId="6" borderId="26" xfId="10" applyNumberFormat="1" applyFont="1" applyFill="1" applyBorder="1" applyAlignment="1">
      <alignment horizontal="right" vertical="center"/>
    </xf>
    <xf numFmtId="3" fontId="8" fillId="7" borderId="87" xfId="10" applyNumberFormat="1" applyFont="1" applyFill="1" applyBorder="1" applyAlignment="1">
      <alignment vertical="center"/>
    </xf>
    <xf numFmtId="0" fontId="25" fillId="6" borderId="38" xfId="10" applyFont="1" applyFill="1" applyBorder="1" applyAlignment="1">
      <alignment vertical="center"/>
    </xf>
    <xf numFmtId="0" fontId="25" fillId="6" borderId="30" xfId="10" applyFont="1" applyFill="1" applyBorder="1" applyAlignment="1">
      <alignment vertical="center" wrapText="1"/>
    </xf>
    <xf numFmtId="3" fontId="23" fillId="6" borderId="30" xfId="10" applyNumberFormat="1" applyFont="1" applyFill="1" applyBorder="1" applyAlignment="1">
      <alignment horizontal="right" vertical="center"/>
    </xf>
    <xf numFmtId="165" fontId="26" fillId="6" borderId="29" xfId="10" applyNumberFormat="1" applyFont="1" applyFill="1" applyBorder="1" applyAlignment="1">
      <alignment horizontal="right" vertical="center"/>
    </xf>
    <xf numFmtId="165" fontId="27" fillId="6" borderId="32" xfId="10" applyNumberFormat="1" applyFont="1" applyFill="1" applyBorder="1" applyAlignment="1">
      <alignment horizontal="right" vertical="center"/>
    </xf>
    <xf numFmtId="3" fontId="28" fillId="8" borderId="74" xfId="10" applyNumberFormat="1" applyFont="1" applyFill="1" applyBorder="1" applyAlignment="1">
      <alignment horizontal="right" vertical="center"/>
    </xf>
    <xf numFmtId="165" fontId="27" fillId="6" borderId="31" xfId="10" applyNumberFormat="1" applyFont="1" applyFill="1" applyBorder="1" applyAlignment="1">
      <alignment horizontal="right" vertical="center"/>
    </xf>
    <xf numFmtId="3" fontId="28" fillId="7" borderId="76" xfId="10" applyNumberFormat="1" applyFont="1" applyFill="1" applyBorder="1" applyAlignment="1">
      <alignment horizontal="right" vertical="center"/>
    </xf>
    <xf numFmtId="3" fontId="17" fillId="6" borderId="0" xfId="10" applyNumberFormat="1" applyFont="1" applyFill="1" applyBorder="1" applyAlignment="1">
      <alignment horizontal="right" vertical="center"/>
    </xf>
    <xf numFmtId="0" fontId="21" fillId="6" borderId="0" xfId="3" applyFont="1" applyFill="1" applyBorder="1" applyAlignment="1">
      <alignment horizontal="right"/>
    </xf>
    <xf numFmtId="168" fontId="21" fillId="6" borderId="0" xfId="10" applyNumberFormat="1" applyFont="1" applyFill="1" applyBorder="1" applyAlignment="1">
      <alignment horizontal="right" vertical="center"/>
    </xf>
    <xf numFmtId="3" fontId="22" fillId="8" borderId="68" xfId="10" applyNumberFormat="1" applyFont="1" applyFill="1" applyBorder="1" applyAlignment="1">
      <alignment horizontal="right" vertical="center"/>
    </xf>
    <xf numFmtId="168" fontId="21" fillId="6" borderId="78" xfId="10" applyNumberFormat="1" applyFont="1" applyFill="1" applyBorder="1" applyAlignment="1">
      <alignment horizontal="right" vertical="center"/>
    </xf>
    <xf numFmtId="3" fontId="22" fillId="7" borderId="70" xfId="10" applyNumberFormat="1" applyFont="1" applyFill="1" applyBorder="1" applyAlignment="1">
      <alignment horizontal="right" vertical="center"/>
    </xf>
    <xf numFmtId="165" fontId="21" fillId="6" borderId="0" xfId="10" applyNumberFormat="1" applyFont="1" applyFill="1" applyBorder="1" applyAlignment="1">
      <alignment horizontal="right" vertical="center"/>
    </xf>
    <xf numFmtId="165" fontId="21" fillId="6" borderId="78" xfId="10" applyNumberFormat="1" applyFont="1" applyFill="1" applyBorder="1" applyAlignment="1">
      <alignment horizontal="right" vertical="center"/>
    </xf>
    <xf numFmtId="3" fontId="6" fillId="6" borderId="10" xfId="10" applyNumberFormat="1" applyFont="1" applyFill="1" applyBorder="1" applyAlignment="1">
      <alignment horizontal="right" vertical="center"/>
    </xf>
    <xf numFmtId="165" fontId="21" fillId="6" borderId="9" xfId="10" applyNumberFormat="1" applyFont="1" applyFill="1" applyBorder="1" applyAlignment="1">
      <alignment horizontal="right" vertical="center"/>
    </xf>
    <xf numFmtId="165" fontId="21" fillId="6" borderId="11" xfId="10" applyNumberFormat="1" applyFont="1" applyFill="1" applyBorder="1" applyAlignment="1">
      <alignment horizontal="right" vertical="center"/>
    </xf>
    <xf numFmtId="3" fontId="8" fillId="8" borderId="79" xfId="10" applyNumberFormat="1" applyFont="1" applyFill="1" applyBorder="1" applyAlignment="1">
      <alignment horizontal="right" vertical="center"/>
    </xf>
    <xf numFmtId="165" fontId="21" fillId="6" borderId="39" xfId="10" applyNumberFormat="1" applyFont="1" applyFill="1" applyBorder="1" applyAlignment="1">
      <alignment horizontal="right" vertical="center"/>
    </xf>
    <xf numFmtId="3" fontId="8" fillId="7" borderId="80" xfId="10" applyNumberFormat="1" applyFont="1" applyFill="1" applyBorder="1" applyAlignment="1">
      <alignment horizontal="right" vertical="center"/>
    </xf>
    <xf numFmtId="0" fontId="17" fillId="6" borderId="20" xfId="10" applyFont="1" applyFill="1" applyBorder="1" applyAlignment="1">
      <alignment vertical="center"/>
    </xf>
    <xf numFmtId="0" fontId="17" fillId="6" borderId="14" xfId="10" applyFont="1" applyFill="1" applyBorder="1" applyAlignment="1">
      <alignment vertical="center"/>
    </xf>
    <xf numFmtId="3" fontId="6" fillId="6" borderId="14" xfId="10" applyNumberFormat="1" applyFont="1" applyFill="1" applyBorder="1" applyAlignment="1">
      <alignment horizontal="right" vertical="center"/>
    </xf>
    <xf numFmtId="165" fontId="21" fillId="6" borderId="16" xfId="10" applyNumberFormat="1" applyFont="1" applyFill="1" applyBorder="1" applyAlignment="1">
      <alignment horizontal="right" vertical="center"/>
    </xf>
    <xf numFmtId="165" fontId="21" fillId="6" borderId="21" xfId="10" applyNumberFormat="1" applyFont="1" applyFill="1" applyBorder="1" applyAlignment="1">
      <alignment horizontal="right" vertical="center"/>
    </xf>
    <xf numFmtId="3" fontId="8" fillId="8" borderId="88" xfId="10" applyNumberFormat="1" applyFont="1" applyFill="1" applyBorder="1" applyAlignment="1">
      <alignment horizontal="right" vertical="center"/>
    </xf>
    <xf numFmtId="165" fontId="21" fillId="6" borderId="40" xfId="10" applyNumberFormat="1" applyFont="1" applyFill="1" applyBorder="1" applyAlignment="1">
      <alignment horizontal="right" vertical="center"/>
    </xf>
    <xf numFmtId="3" fontId="8" fillId="7" borderId="89" xfId="10" applyNumberFormat="1" applyFont="1" applyFill="1" applyBorder="1" applyAlignment="1">
      <alignment horizontal="right" vertical="center"/>
    </xf>
    <xf numFmtId="0" fontId="17" fillId="6" borderId="23" xfId="10" applyFont="1" applyFill="1" applyBorder="1" applyAlignment="1">
      <alignment vertical="center"/>
    </xf>
    <xf numFmtId="3" fontId="6" fillId="6" borderId="23" xfId="10" applyNumberFormat="1" applyFont="1" applyFill="1" applyBorder="1" applyAlignment="1">
      <alignment horizontal="right" vertical="center"/>
    </xf>
    <xf numFmtId="165" fontId="21" fillId="6" borderId="85" xfId="10" applyNumberFormat="1" applyFont="1" applyFill="1" applyBorder="1" applyAlignment="1">
      <alignment horizontal="right" vertical="center"/>
    </xf>
    <xf numFmtId="3" fontId="8" fillId="8" borderId="86" xfId="10" applyNumberFormat="1" applyFont="1" applyFill="1" applyBorder="1" applyAlignment="1">
      <alignment horizontal="right" vertical="center"/>
    </xf>
    <xf numFmtId="165" fontId="21" fillId="6" borderId="25" xfId="10" applyNumberFormat="1" applyFont="1" applyFill="1" applyBorder="1" applyAlignment="1">
      <alignment horizontal="right" vertical="center"/>
    </xf>
    <xf numFmtId="3" fontId="8" fillId="7" borderId="87" xfId="10" applyNumberFormat="1" applyFont="1" applyFill="1" applyBorder="1" applyAlignment="1">
      <alignment horizontal="right" vertical="center"/>
    </xf>
    <xf numFmtId="0" fontId="17" fillId="6" borderId="34" xfId="10" applyFont="1" applyFill="1" applyBorder="1" applyAlignment="1">
      <alignment vertical="center"/>
    </xf>
    <xf numFmtId="165" fontId="21" fillId="6" borderId="19" xfId="10" applyNumberFormat="1" applyFont="1" applyFill="1" applyBorder="1" applyAlignment="1">
      <alignment horizontal="right" vertical="center"/>
    </xf>
    <xf numFmtId="0" fontId="17" fillId="6" borderId="18" xfId="10" applyFont="1" applyFill="1" applyBorder="1" applyAlignment="1">
      <alignment vertical="center"/>
    </xf>
    <xf numFmtId="3" fontId="17" fillId="6" borderId="17" xfId="10" applyNumberFormat="1" applyFont="1" applyFill="1" applyBorder="1" applyAlignment="1">
      <alignment horizontal="right" vertical="center"/>
    </xf>
    <xf numFmtId="3" fontId="24" fillId="8" borderId="90" xfId="10" applyNumberFormat="1" applyFont="1" applyFill="1" applyBorder="1" applyAlignment="1">
      <alignment horizontal="right" vertical="center"/>
    </xf>
    <xf numFmtId="3" fontId="24" fillId="7" borderId="91" xfId="10" applyNumberFormat="1" applyFont="1" applyFill="1" applyBorder="1" applyAlignment="1">
      <alignment horizontal="right" vertical="center"/>
    </xf>
    <xf numFmtId="0" fontId="17" fillId="6" borderId="66" xfId="10" applyFont="1" applyFill="1" applyBorder="1" applyAlignment="1">
      <alignment vertical="center"/>
    </xf>
    <xf numFmtId="0" fontId="17" fillId="6" borderId="21" xfId="10" applyFont="1" applyFill="1" applyBorder="1" applyAlignment="1">
      <alignment vertical="center"/>
    </xf>
    <xf numFmtId="0" fontId="17" fillId="6" borderId="54" xfId="10" applyFont="1" applyFill="1" applyBorder="1" applyAlignment="1">
      <alignment vertical="center"/>
    </xf>
    <xf numFmtId="0" fontId="17" fillId="6" borderId="16" xfId="10" applyFont="1" applyFill="1" applyBorder="1" applyAlignment="1">
      <alignment vertical="center"/>
    </xf>
    <xf numFmtId="3" fontId="17" fillId="6" borderId="54" xfId="10" applyNumberFormat="1" applyFont="1" applyFill="1" applyBorder="1" applyAlignment="1">
      <alignment horizontal="right" vertical="center"/>
    </xf>
    <xf numFmtId="3" fontId="17" fillId="6" borderId="14" xfId="10" applyNumberFormat="1" applyFont="1" applyFill="1" applyBorder="1" applyAlignment="1">
      <alignment horizontal="right" vertical="center"/>
    </xf>
    <xf numFmtId="3" fontId="24" fillId="8" borderId="88" xfId="10" applyNumberFormat="1" applyFont="1" applyFill="1" applyBorder="1" applyAlignment="1">
      <alignment horizontal="right" vertical="center"/>
    </xf>
    <xf numFmtId="3" fontId="24" fillId="7" borderId="89" xfId="10" applyNumberFormat="1" applyFont="1" applyFill="1" applyBorder="1" applyAlignment="1">
      <alignment horizontal="right" vertical="center"/>
    </xf>
    <xf numFmtId="0" fontId="17" fillId="6" borderId="17" xfId="10" applyFont="1" applyFill="1" applyBorder="1" applyAlignment="1">
      <alignment vertical="center"/>
    </xf>
    <xf numFmtId="0" fontId="17" fillId="6" borderId="92" xfId="10" applyFont="1" applyFill="1" applyBorder="1" applyAlignment="1">
      <alignment vertical="center"/>
    </xf>
    <xf numFmtId="0" fontId="17" fillId="6" borderId="93" xfId="10" applyFont="1" applyFill="1" applyBorder="1" applyAlignment="1">
      <alignment vertical="center"/>
    </xf>
    <xf numFmtId="0" fontId="17" fillId="6" borderId="1" xfId="10" applyFont="1" applyFill="1" applyBorder="1" applyAlignment="1">
      <alignment vertical="center"/>
    </xf>
    <xf numFmtId="0" fontId="17" fillId="6" borderId="3" xfId="10" applyFont="1" applyFill="1" applyBorder="1" applyAlignment="1">
      <alignment vertical="center"/>
    </xf>
    <xf numFmtId="0" fontId="6" fillId="6" borderId="3" xfId="10" applyFont="1" applyFill="1" applyBorder="1" applyAlignment="1">
      <alignment vertical="center"/>
    </xf>
    <xf numFmtId="0" fontId="6" fillId="6" borderId="77" xfId="10" applyFont="1" applyFill="1" applyBorder="1" applyAlignment="1">
      <alignment vertical="center"/>
    </xf>
    <xf numFmtId="3" fontId="6" fillId="6" borderId="2" xfId="10" applyNumberFormat="1" applyFont="1" applyFill="1" applyBorder="1" applyAlignment="1">
      <alignment horizontal="right" vertical="center"/>
    </xf>
    <xf numFmtId="165" fontId="21" fillId="6" borderId="41" xfId="10" applyNumberFormat="1" applyFont="1" applyFill="1" applyBorder="1" applyAlignment="1">
      <alignment horizontal="right" vertical="center"/>
    </xf>
    <xf numFmtId="165" fontId="21" fillId="6" borderId="3" xfId="10" applyNumberFormat="1" applyFont="1" applyFill="1" applyBorder="1" applyAlignment="1">
      <alignment horizontal="right" vertical="center"/>
    </xf>
    <xf numFmtId="3" fontId="8" fillId="8" borderId="94" xfId="10" applyNumberFormat="1" applyFont="1" applyFill="1" applyBorder="1" applyAlignment="1">
      <alignment horizontal="right" vertical="center"/>
    </xf>
    <xf numFmtId="165" fontId="21" fillId="6" borderId="4" xfId="10" applyNumberFormat="1" applyFont="1" applyFill="1" applyBorder="1" applyAlignment="1">
      <alignment horizontal="right" vertical="center"/>
    </xf>
    <xf numFmtId="3" fontId="8" fillId="7" borderId="95" xfId="10" applyNumberFormat="1" applyFont="1" applyFill="1" applyBorder="1" applyAlignment="1">
      <alignment horizontal="right" vertical="center"/>
    </xf>
    <xf numFmtId="0" fontId="17" fillId="0" borderId="20" xfId="10" applyFont="1" applyFill="1" applyBorder="1" applyAlignment="1">
      <alignment vertical="center"/>
    </xf>
    <xf numFmtId="0" fontId="17" fillId="0" borderId="21" xfId="10" applyFont="1" applyFill="1" applyBorder="1" applyAlignment="1">
      <alignment vertical="center"/>
    </xf>
    <xf numFmtId="3" fontId="6" fillId="6" borderId="54" xfId="10" applyNumberFormat="1" applyFont="1" applyFill="1" applyBorder="1" applyAlignment="1">
      <alignment horizontal="right" vertical="center"/>
    </xf>
    <xf numFmtId="0" fontId="17" fillId="0" borderId="27" xfId="10" applyFont="1" applyFill="1" applyBorder="1" applyAlignment="1">
      <alignment vertical="center"/>
    </xf>
    <xf numFmtId="0" fontId="17" fillId="0" borderId="54" xfId="10" applyFont="1" applyFill="1" applyBorder="1" applyAlignment="1">
      <alignment vertical="center"/>
    </xf>
    <xf numFmtId="0" fontId="17" fillId="0" borderId="16" xfId="10" applyFont="1" applyFill="1" applyBorder="1" applyAlignment="1">
      <alignment vertical="center"/>
    </xf>
    <xf numFmtId="0" fontId="17" fillId="6" borderId="77" xfId="10" applyFont="1" applyFill="1" applyBorder="1" applyAlignment="1">
      <alignment vertical="center"/>
    </xf>
    <xf numFmtId="3" fontId="6" fillId="0" borderId="2" xfId="3" applyNumberFormat="1" applyFont="1" applyFill="1" applyBorder="1" applyAlignment="1">
      <alignment horizontal="right" vertical="center"/>
    </xf>
    <xf numFmtId="3" fontId="8" fillId="8" borderId="94" xfId="3" applyNumberFormat="1" applyFont="1" applyFill="1" applyBorder="1" applyAlignment="1">
      <alignment horizontal="right" vertical="center"/>
    </xf>
    <xf numFmtId="3" fontId="8" fillId="7" borderId="95" xfId="3" applyNumberFormat="1" applyFont="1" applyFill="1" applyBorder="1" applyAlignment="1">
      <alignment horizontal="right" vertical="center"/>
    </xf>
    <xf numFmtId="0" fontId="17" fillId="6" borderId="43" xfId="10" applyFont="1" applyFill="1" applyBorder="1" applyAlignment="1">
      <alignment vertical="center"/>
    </xf>
    <xf numFmtId="0" fontId="17" fillId="0" borderId="93" xfId="10" applyFont="1" applyFill="1" applyBorder="1" applyAlignment="1">
      <alignment vertical="center"/>
    </xf>
    <xf numFmtId="3" fontId="6" fillId="0" borderId="17" xfId="10" applyNumberFormat="1" applyFont="1" applyFill="1" applyBorder="1" applyAlignment="1">
      <alignment horizontal="right" vertical="center"/>
    </xf>
    <xf numFmtId="165" fontId="21" fillId="0" borderId="44" xfId="10" applyNumberFormat="1" applyFont="1" applyFill="1" applyBorder="1" applyAlignment="1">
      <alignment horizontal="right" vertical="center"/>
    </xf>
    <xf numFmtId="165" fontId="21" fillId="0" borderId="18" xfId="10" applyNumberFormat="1" applyFont="1" applyFill="1" applyBorder="1" applyAlignment="1">
      <alignment horizontal="right" vertical="center"/>
    </xf>
    <xf numFmtId="3" fontId="29" fillId="8" borderId="90" xfId="10" applyNumberFormat="1" applyFont="1" applyFill="1" applyBorder="1" applyAlignment="1">
      <alignment horizontal="right" vertical="center"/>
    </xf>
    <xf numFmtId="165" fontId="21" fillId="6" borderId="12" xfId="10" applyNumberFormat="1" applyFont="1" applyFill="1" applyBorder="1" applyAlignment="1">
      <alignment horizontal="right" vertical="center"/>
    </xf>
    <xf numFmtId="3" fontId="29" fillId="7" borderId="91" xfId="10" applyNumberFormat="1" applyFont="1" applyFill="1" applyBorder="1" applyAlignment="1">
      <alignment horizontal="right" vertical="center"/>
    </xf>
    <xf numFmtId="3" fontId="6" fillId="0" borderId="14" xfId="10" applyNumberFormat="1" applyFont="1" applyFill="1" applyBorder="1" applyAlignment="1">
      <alignment horizontal="right" vertical="center"/>
    </xf>
    <xf numFmtId="165" fontId="21" fillId="0" borderId="16" xfId="10" applyNumberFormat="1" applyFont="1" applyFill="1" applyBorder="1" applyAlignment="1">
      <alignment horizontal="right" vertical="center"/>
    </xf>
    <xf numFmtId="165" fontId="21" fillId="0" borderId="21" xfId="10" applyNumberFormat="1" applyFont="1" applyFill="1" applyBorder="1" applyAlignment="1">
      <alignment horizontal="right" vertical="center"/>
    </xf>
    <xf numFmtId="3" fontId="8" fillId="8" borderId="90" xfId="10" applyNumberFormat="1" applyFont="1" applyFill="1" applyBorder="1" applyAlignment="1">
      <alignment horizontal="right" vertical="center"/>
    </xf>
    <xf numFmtId="3" fontId="8" fillId="7" borderId="91" xfId="10" applyNumberFormat="1" applyFont="1" applyFill="1" applyBorder="1" applyAlignment="1">
      <alignment horizontal="right" vertical="center"/>
    </xf>
    <xf numFmtId="0" fontId="17" fillId="0" borderId="81" xfId="10" applyFont="1" applyFill="1" applyBorder="1" applyAlignment="1">
      <alignment vertical="center"/>
    </xf>
    <xf numFmtId="0" fontId="25" fillId="6" borderId="1" xfId="10" applyFont="1" applyFill="1" applyBorder="1" applyAlignment="1">
      <alignment vertical="center"/>
    </xf>
    <xf numFmtId="0" fontId="25" fillId="6" borderId="3" xfId="10" applyFont="1" applyFill="1" applyBorder="1" applyAlignment="1">
      <alignment vertical="center" wrapText="1"/>
    </xf>
    <xf numFmtId="0" fontId="23" fillId="6" borderId="3" xfId="10" applyFont="1" applyFill="1" applyBorder="1" applyAlignment="1">
      <alignment vertical="center"/>
    </xf>
    <xf numFmtId="0" fontId="23" fillId="6" borderId="77" xfId="10" applyFont="1" applyFill="1" applyBorder="1" applyAlignment="1">
      <alignment vertical="center" wrapText="1"/>
    </xf>
    <xf numFmtId="3" fontId="23" fillId="6" borderId="2" xfId="10" applyNumberFormat="1" applyFont="1" applyFill="1" applyBorder="1" applyAlignment="1">
      <alignment horizontal="right" vertical="center"/>
    </xf>
    <xf numFmtId="165" fontId="26" fillId="6" borderId="41" xfId="10" applyNumberFormat="1" applyFont="1" applyFill="1" applyBorder="1" applyAlignment="1">
      <alignment horizontal="right" vertical="center"/>
    </xf>
    <xf numFmtId="165" fontId="27" fillId="6" borderId="3" xfId="10" applyNumberFormat="1" applyFont="1" applyFill="1" applyBorder="1" applyAlignment="1">
      <alignment horizontal="right" vertical="center"/>
    </xf>
    <xf numFmtId="3" fontId="28" fillId="8" borderId="94" xfId="10" applyNumberFormat="1" applyFont="1" applyFill="1" applyBorder="1" applyAlignment="1">
      <alignment horizontal="right" vertical="center"/>
    </xf>
    <xf numFmtId="165" fontId="27" fillId="6" borderId="4" xfId="10" applyNumberFormat="1" applyFont="1" applyFill="1" applyBorder="1" applyAlignment="1">
      <alignment horizontal="right" vertical="center"/>
    </xf>
    <xf numFmtId="0" fontId="31" fillId="0" borderId="64" xfId="10" applyFont="1" applyFill="1" applyBorder="1" applyAlignment="1">
      <alignment vertical="center"/>
    </xf>
    <xf numFmtId="0" fontId="31" fillId="0" borderId="0" xfId="10" applyFont="1" applyFill="1" applyBorder="1" applyAlignment="1">
      <alignment vertical="center"/>
    </xf>
    <xf numFmtId="0" fontId="32" fillId="0" borderId="0" xfId="10" applyFont="1" applyFill="1" applyBorder="1" applyAlignment="1">
      <alignment vertical="center"/>
    </xf>
    <xf numFmtId="3" fontId="31" fillId="0" borderId="0" xfId="10" applyNumberFormat="1" applyFont="1" applyFill="1" applyBorder="1" applyAlignment="1">
      <alignment horizontal="right" vertical="center"/>
    </xf>
    <xf numFmtId="165" fontId="31" fillId="0" borderId="0" xfId="10" applyNumberFormat="1" applyFont="1" applyFill="1" applyBorder="1" applyAlignment="1">
      <alignment horizontal="right" vertical="center"/>
    </xf>
    <xf numFmtId="0" fontId="31" fillId="0" borderId="0" xfId="10" applyFont="1" applyFill="1" applyBorder="1" applyAlignment="1">
      <alignment horizontal="right" vertical="center"/>
    </xf>
    <xf numFmtId="3" fontId="31" fillId="0" borderId="68" xfId="10" applyNumberFormat="1" applyFont="1" applyFill="1" applyBorder="1" applyAlignment="1">
      <alignment horizontal="right" vertical="center"/>
    </xf>
    <xf numFmtId="0" fontId="31" fillId="0" borderId="78" xfId="10" applyFont="1" applyFill="1" applyBorder="1" applyAlignment="1">
      <alignment horizontal="right" vertical="center"/>
    </xf>
    <xf numFmtId="0" fontId="0" fillId="0" borderId="0" xfId="0" applyFill="1"/>
    <xf numFmtId="0" fontId="23" fillId="6" borderId="20" xfId="10" applyFont="1" applyFill="1" applyBorder="1" applyAlignment="1">
      <alignment vertical="center"/>
    </xf>
    <xf numFmtId="0" fontId="23" fillId="6" borderId="14" xfId="10" applyFont="1" applyFill="1" applyBorder="1" applyAlignment="1">
      <alignment vertical="center"/>
    </xf>
    <xf numFmtId="0" fontId="6" fillId="6" borderId="21" xfId="10" applyFont="1" applyFill="1" applyBorder="1" applyAlignment="1">
      <alignment vertical="center"/>
    </xf>
    <xf numFmtId="0" fontId="14" fillId="6" borderId="54" xfId="10" applyFont="1" applyFill="1" applyBorder="1" applyAlignment="1">
      <alignment vertical="center"/>
    </xf>
    <xf numFmtId="165" fontId="26" fillId="6" borderId="16" xfId="10" applyNumberFormat="1" applyFont="1" applyFill="1" applyBorder="1" applyAlignment="1">
      <alignment horizontal="right" vertical="center"/>
    </xf>
    <xf numFmtId="165" fontId="26" fillId="6" borderId="21" xfId="10" applyNumberFormat="1" applyFont="1" applyFill="1" applyBorder="1" applyAlignment="1">
      <alignment horizontal="right" vertical="center"/>
    </xf>
    <xf numFmtId="3" fontId="6" fillId="8" borderId="88" xfId="10" applyNumberFormat="1" applyFont="1" applyFill="1" applyBorder="1" applyAlignment="1">
      <alignment horizontal="right" vertical="center"/>
    </xf>
    <xf numFmtId="165" fontId="26" fillId="6" borderId="19" xfId="10" applyNumberFormat="1" applyFont="1" applyFill="1" applyBorder="1" applyAlignment="1">
      <alignment horizontal="right" vertical="center"/>
    </xf>
    <xf numFmtId="3" fontId="6" fillId="7" borderId="89" xfId="10" applyNumberFormat="1" applyFont="1" applyFill="1" applyBorder="1" applyAlignment="1">
      <alignment horizontal="right" vertical="center"/>
    </xf>
    <xf numFmtId="0" fontId="23" fillId="6" borderId="33" xfId="10" applyFont="1" applyFill="1" applyBorder="1" applyAlignment="1">
      <alignment vertical="center"/>
    </xf>
    <xf numFmtId="0" fontId="23" fillId="6" borderId="34" xfId="10" applyFont="1" applyFill="1" applyBorder="1" applyAlignment="1">
      <alignment vertical="center"/>
    </xf>
    <xf numFmtId="0" fontId="6" fillId="6" borderId="35" xfId="10" applyFont="1" applyFill="1" applyBorder="1" applyAlignment="1">
      <alignment vertical="center"/>
    </xf>
    <xf numFmtId="0" fontId="14" fillId="6" borderId="81" xfId="10" applyFont="1" applyFill="1" applyBorder="1" applyAlignment="1">
      <alignment vertical="center"/>
    </xf>
    <xf numFmtId="3" fontId="6" fillId="6" borderId="34" xfId="10" applyNumberFormat="1" applyFont="1" applyFill="1" applyBorder="1" applyAlignment="1">
      <alignment horizontal="right" vertical="center"/>
    </xf>
    <xf numFmtId="165" fontId="26" fillId="6" borderId="36" xfId="10" applyNumberFormat="1" applyFont="1" applyFill="1" applyBorder="1" applyAlignment="1">
      <alignment horizontal="right" vertical="center"/>
    </xf>
    <xf numFmtId="165" fontId="26" fillId="6" borderId="35" xfId="10" applyNumberFormat="1" applyFont="1" applyFill="1" applyBorder="1" applyAlignment="1">
      <alignment horizontal="right" vertical="center"/>
    </xf>
    <xf numFmtId="3" fontId="6" fillId="8" borderId="82" xfId="10" applyNumberFormat="1" applyFont="1" applyFill="1" applyBorder="1" applyAlignment="1">
      <alignment horizontal="right" vertical="center"/>
    </xf>
    <xf numFmtId="165" fontId="26" fillId="6" borderId="37" xfId="10" applyNumberFormat="1" applyFont="1" applyFill="1" applyBorder="1" applyAlignment="1">
      <alignment horizontal="right" vertical="center"/>
    </xf>
    <xf numFmtId="3" fontId="6" fillId="7" borderId="83" xfId="10" applyNumberFormat="1" applyFont="1" applyFill="1" applyBorder="1" applyAlignment="1">
      <alignment horizontal="right" vertical="center"/>
    </xf>
    <xf numFmtId="0" fontId="14" fillId="6" borderId="1" xfId="10" applyFont="1" applyFill="1" applyBorder="1" applyAlignment="1">
      <alignment vertical="center"/>
    </xf>
    <xf numFmtId="0" fontId="14" fillId="6" borderId="2" xfId="10" applyFont="1" applyFill="1" applyBorder="1" applyAlignment="1">
      <alignment vertical="center"/>
    </xf>
    <xf numFmtId="3" fontId="14" fillId="6" borderId="2" xfId="10" applyNumberFormat="1" applyFont="1" applyFill="1" applyBorder="1" applyAlignment="1">
      <alignment horizontal="right" vertical="center"/>
    </xf>
    <xf numFmtId="0" fontId="5" fillId="0" borderId="0" xfId="10" applyFont="1" applyFill="1" applyBorder="1" applyAlignment="1">
      <alignment vertical="center"/>
    </xf>
    <xf numFmtId="165" fontId="5" fillId="0" borderId="0" xfId="10" applyNumberFormat="1" applyFont="1" applyFill="1" applyBorder="1" applyAlignment="1">
      <alignment vertical="center"/>
    </xf>
    <xf numFmtId="3" fontId="5" fillId="0" borderId="0" xfId="10" applyNumberFormat="1" applyFont="1" applyFill="1" applyBorder="1" applyAlignment="1">
      <alignment vertical="center"/>
    </xf>
    <xf numFmtId="165" fontId="6" fillId="0" borderId="0" xfId="10" applyNumberFormat="1" applyFont="1" applyFill="1" applyBorder="1" applyAlignment="1">
      <alignment vertical="center"/>
    </xf>
    <xf numFmtId="3" fontId="5" fillId="0" borderId="0" xfId="10" applyNumberFormat="1" applyFont="1" applyFill="1" applyBorder="1" applyAlignment="1">
      <alignment horizontal="right" vertical="center"/>
    </xf>
    <xf numFmtId="0" fontId="6" fillId="0" borderId="0" xfId="10" applyFont="1" applyFill="1" applyAlignment="1">
      <alignment vertical="center"/>
    </xf>
    <xf numFmtId="0" fontId="14" fillId="0" borderId="0" xfId="10" applyFont="1" applyFill="1" applyBorder="1" applyAlignment="1">
      <alignment vertical="center"/>
    </xf>
    <xf numFmtId="165" fontId="5" fillId="0" borderId="14" xfId="10" applyNumberFormat="1" applyFont="1" applyFill="1" applyBorder="1" applyAlignment="1">
      <alignment vertical="center"/>
    </xf>
    <xf numFmtId="3" fontId="5" fillId="0" borderId="14" xfId="10" applyNumberFormat="1" applyFont="1" applyFill="1" applyBorder="1" applyAlignment="1">
      <alignment vertical="center"/>
    </xf>
    <xf numFmtId="165" fontId="6" fillId="0" borderId="14" xfId="10" applyNumberFormat="1" applyFont="1" applyFill="1" applyBorder="1" applyAlignment="1">
      <alignment vertical="center"/>
    </xf>
    <xf numFmtId="3" fontId="5" fillId="0" borderId="14" xfId="10" applyNumberFormat="1" applyFont="1" applyFill="1" applyBorder="1" applyAlignment="1">
      <alignment horizontal="right" vertical="center"/>
    </xf>
    <xf numFmtId="0" fontId="34" fillId="0" borderId="0" xfId="3" applyFont="1" applyFill="1" applyAlignment="1">
      <alignment horizontal="right" vertical="center"/>
    </xf>
    <xf numFmtId="0" fontId="35" fillId="0" borderId="0" xfId="5" applyFont="1" applyAlignment="1">
      <alignment horizontal="left" vertical="center"/>
    </xf>
    <xf numFmtId="0" fontId="36" fillId="0" borderId="0" xfId="5" applyFont="1" applyAlignment="1">
      <alignment horizontal="left" vertical="center"/>
    </xf>
    <xf numFmtId="0" fontId="37" fillId="0" borderId="0" xfId="5" applyFont="1" applyAlignment="1">
      <alignment horizontal="center" vertical="center"/>
    </xf>
    <xf numFmtId="0" fontId="4" fillId="0" borderId="0" xfId="4"/>
    <xf numFmtId="0" fontId="8" fillId="0" borderId="14" xfId="5" applyFont="1" applyBorder="1" applyAlignment="1">
      <alignment horizontal="left" vertical="center" wrapText="1" indent="1"/>
    </xf>
    <xf numFmtId="3" fontId="8" fillId="0" borderId="14" xfId="5" applyNumberFormat="1" applyFont="1" applyBorder="1" applyAlignment="1">
      <alignment horizontal="right" vertical="center" wrapText="1" indent="1"/>
    </xf>
    <xf numFmtId="3" fontId="8" fillId="0" borderId="14" xfId="5" applyNumberFormat="1" applyFont="1" applyBorder="1" applyAlignment="1">
      <alignment horizontal="center" vertical="center" wrapText="1"/>
    </xf>
    <xf numFmtId="0" fontId="8" fillId="0" borderId="0" xfId="5" applyFont="1" applyAlignment="1">
      <alignment vertical="center"/>
    </xf>
    <xf numFmtId="0" fontId="8" fillId="0" borderId="0" xfId="5" applyFont="1" applyBorder="1" applyAlignment="1">
      <alignment horizontal="left" vertical="center" wrapText="1" indent="1"/>
    </xf>
    <xf numFmtId="3" fontId="8" fillId="0" borderId="0" xfId="5" applyNumberFormat="1" applyFont="1" applyBorder="1" applyAlignment="1">
      <alignment horizontal="left" vertical="center" wrapText="1" indent="1"/>
    </xf>
    <xf numFmtId="0" fontId="38" fillId="0" borderId="0" xfId="5" applyFont="1" applyAlignment="1">
      <alignment vertical="center"/>
    </xf>
    <xf numFmtId="3" fontId="38" fillId="0" borderId="0" xfId="5" applyNumberFormat="1" applyFont="1" applyAlignment="1">
      <alignment horizontal="right" vertical="center" indent="1"/>
    </xf>
    <xf numFmtId="0" fontId="5" fillId="0" borderId="1" xfId="5" applyFont="1" applyBorder="1" applyAlignment="1">
      <alignment horizontal="center" vertical="center" wrapText="1"/>
    </xf>
    <xf numFmtId="0" fontId="5" fillId="0" borderId="4" xfId="5" applyFont="1" applyBorder="1" applyAlignment="1">
      <alignment horizontal="center" vertical="center" wrapText="1"/>
    </xf>
    <xf numFmtId="0" fontId="5" fillId="0" borderId="41" xfId="5" applyFont="1" applyBorder="1" applyAlignment="1">
      <alignment horizontal="center" vertical="center" wrapText="1"/>
    </xf>
    <xf numFmtId="3" fontId="7" fillId="0" borderId="4" xfId="5" applyNumberFormat="1" applyFont="1" applyBorder="1" applyAlignment="1">
      <alignment horizontal="center" vertical="center" wrapText="1"/>
    </xf>
    <xf numFmtId="0" fontId="8" fillId="0" borderId="96" xfId="5" applyFont="1" applyBorder="1" applyAlignment="1">
      <alignment horizontal="center" vertical="center" wrapText="1"/>
    </xf>
    <xf numFmtId="0" fontId="8" fillId="0" borderId="97" xfId="5" applyFont="1" applyBorder="1" applyAlignment="1">
      <alignment horizontal="left" vertical="center" wrapText="1" indent="1"/>
    </xf>
    <xf numFmtId="3" fontId="8" fillId="0" borderId="98" xfId="5" applyNumberFormat="1" applyFont="1" applyBorder="1" applyAlignment="1">
      <alignment horizontal="right" vertical="center" wrapText="1" indent="1"/>
    </xf>
    <xf numFmtId="3" fontId="8" fillId="0" borderId="99" xfId="5" applyNumberFormat="1" applyFont="1" applyBorder="1" applyAlignment="1">
      <alignment horizontal="right" vertical="center" wrapText="1" indent="1"/>
    </xf>
    <xf numFmtId="3" fontId="8" fillId="0" borderId="97" xfId="5" applyNumberFormat="1" applyFont="1" applyBorder="1" applyAlignment="1">
      <alignment horizontal="right" vertical="center" wrapText="1" indent="1"/>
    </xf>
    <xf numFmtId="0" fontId="8" fillId="0" borderId="100" xfId="5" applyFont="1" applyBorder="1" applyAlignment="1">
      <alignment horizontal="center" vertical="center" wrapText="1"/>
    </xf>
    <xf numFmtId="0" fontId="8" fillId="0" borderId="101" xfId="5" applyFont="1" applyBorder="1" applyAlignment="1">
      <alignment horizontal="left" vertical="center" wrapText="1" indent="1"/>
    </xf>
    <xf numFmtId="3" fontId="8" fillId="0" borderId="102" xfId="5" applyNumberFormat="1" applyFont="1" applyBorder="1" applyAlignment="1">
      <alignment horizontal="right" vertical="center" wrapText="1" indent="1"/>
    </xf>
    <xf numFmtId="3" fontId="8" fillId="0" borderId="103" xfId="5" applyNumberFormat="1" applyFont="1" applyBorder="1" applyAlignment="1">
      <alignment horizontal="right" vertical="center" wrapText="1" indent="1"/>
    </xf>
    <xf numFmtId="0" fontId="5" fillId="0" borderId="1" xfId="5" applyFont="1" applyBorder="1" applyAlignment="1">
      <alignment vertical="center"/>
    </xf>
    <xf numFmtId="0" fontId="5" fillId="0" borderId="4" xfId="5" applyFont="1" applyBorder="1" applyAlignment="1">
      <alignment horizontal="left" vertical="center" indent="1"/>
    </xf>
    <xf numFmtId="3" fontId="5" fillId="0" borderId="41" xfId="5" applyNumberFormat="1" applyFont="1" applyBorder="1" applyAlignment="1">
      <alignment horizontal="right" vertical="center" indent="1"/>
    </xf>
    <xf numFmtId="3" fontId="7" fillId="0" borderId="104" xfId="5" applyNumberFormat="1" applyFont="1" applyBorder="1" applyAlignment="1">
      <alignment horizontal="right" vertical="center" indent="1"/>
    </xf>
    <xf numFmtId="0" fontId="4" fillId="0" borderId="0" xfId="5" applyFont="1" applyAlignment="1">
      <alignment vertical="center"/>
    </xf>
    <xf numFmtId="0" fontId="4" fillId="0" borderId="0" xfId="0" applyFont="1"/>
    <xf numFmtId="0" fontId="39" fillId="0" borderId="0" xfId="5" applyFont="1" applyAlignment="1">
      <alignment vertical="center"/>
    </xf>
    <xf numFmtId="0" fontId="40" fillId="0" borderId="0" xfId="5" applyFont="1" applyAlignment="1">
      <alignment vertical="center"/>
    </xf>
    <xf numFmtId="0" fontId="41" fillId="0" borderId="0" xfId="5" applyFont="1" applyAlignment="1">
      <alignment vertical="center"/>
    </xf>
    <xf numFmtId="0" fontId="42" fillId="0" borderId="0" xfId="5" applyFont="1" applyAlignment="1">
      <alignment vertical="center"/>
    </xf>
    <xf numFmtId="0" fontId="43" fillId="0" borderId="0" xfId="5" applyFont="1" applyAlignment="1">
      <alignment vertical="center"/>
    </xf>
    <xf numFmtId="3" fontId="38" fillId="0" borderId="14" xfId="5" applyNumberFormat="1" applyFont="1" applyBorder="1" applyAlignment="1">
      <alignment horizontal="right" vertical="center" indent="1"/>
    </xf>
    <xf numFmtId="3" fontId="38" fillId="0" borderId="14" xfId="5" applyNumberFormat="1" applyFont="1" applyFill="1" applyBorder="1" applyAlignment="1">
      <alignment horizontal="right" vertical="center" indent="1"/>
    </xf>
    <xf numFmtId="0" fontId="38" fillId="0" borderId="0" xfId="5" applyFont="1" applyBorder="1" applyAlignment="1">
      <alignment vertical="center"/>
    </xf>
    <xf numFmtId="0" fontId="38" fillId="0" borderId="0" xfId="5" applyFont="1" applyBorder="1" applyAlignment="1">
      <alignment vertical="center" wrapText="1"/>
    </xf>
    <xf numFmtId="0" fontId="38" fillId="0" borderId="0" xfId="5" applyFont="1" applyBorder="1" applyAlignment="1">
      <alignment horizontal="center" vertical="center" wrapText="1"/>
    </xf>
    <xf numFmtId="0" fontId="38" fillId="0" borderId="0" xfId="5" applyFont="1" applyAlignment="1">
      <alignment horizontal="right" vertical="center" indent="1"/>
    </xf>
    <xf numFmtId="0" fontId="38" fillId="0" borderId="13" xfId="5" applyFont="1" applyBorder="1" applyAlignment="1">
      <alignment horizontal="center" vertical="center" wrapText="1"/>
    </xf>
    <xf numFmtId="0" fontId="38" fillId="0" borderId="10" xfId="5" applyFont="1" applyBorder="1" applyAlignment="1">
      <alignment horizontal="left" vertical="center" wrapText="1" indent="1"/>
    </xf>
    <xf numFmtId="3" fontId="38" fillId="0" borderId="10" xfId="5" applyNumberFormat="1" applyFont="1" applyBorder="1" applyAlignment="1">
      <alignment horizontal="right" vertical="center" wrapText="1" indent="1"/>
    </xf>
    <xf numFmtId="3" fontId="38" fillId="0" borderId="15" xfId="5" applyNumberFormat="1" applyFont="1" applyBorder="1" applyAlignment="1">
      <alignment horizontal="right" vertical="center" indent="1"/>
    </xf>
    <xf numFmtId="0" fontId="38" fillId="0" borderId="20" xfId="5" applyFont="1" applyBorder="1" applyAlignment="1">
      <alignment horizontal="center" vertical="center" wrapText="1"/>
    </xf>
    <xf numFmtId="0" fontId="38" fillId="0" borderId="14" xfId="5" applyFont="1" applyBorder="1" applyAlignment="1">
      <alignment horizontal="left" vertical="center" wrapText="1" indent="1"/>
    </xf>
    <xf numFmtId="3" fontId="38" fillId="0" borderId="14" xfId="5" applyNumberFormat="1" applyFont="1" applyBorder="1" applyAlignment="1">
      <alignment horizontal="right" vertical="center" wrapText="1" indent="1"/>
    </xf>
    <xf numFmtId="3" fontId="38" fillId="0" borderId="19" xfId="5" applyNumberFormat="1" applyFont="1" applyBorder="1" applyAlignment="1">
      <alignment horizontal="right" vertical="center" indent="1"/>
    </xf>
    <xf numFmtId="0" fontId="38" fillId="0" borderId="22" xfId="5" applyFont="1" applyBorder="1" applyAlignment="1">
      <alignment horizontal="center" vertical="center" wrapText="1"/>
    </xf>
    <xf numFmtId="0" fontId="38" fillId="0" borderId="23" xfId="5" applyFont="1" applyBorder="1" applyAlignment="1">
      <alignment horizontal="left" vertical="center" wrapText="1" indent="1"/>
    </xf>
    <xf numFmtId="3" fontId="38" fillId="0" borderId="23" xfId="5" applyNumberFormat="1" applyFont="1" applyBorder="1" applyAlignment="1">
      <alignment horizontal="right" vertical="center" wrapText="1" indent="1"/>
    </xf>
    <xf numFmtId="3" fontId="38" fillId="0" borderId="26" xfId="5" applyNumberFormat="1" applyFont="1" applyBorder="1" applyAlignment="1">
      <alignment horizontal="right" vertical="center" indent="1"/>
    </xf>
    <xf numFmtId="3" fontId="44" fillId="0" borderId="30" xfId="5" applyNumberFormat="1" applyFont="1" applyBorder="1" applyAlignment="1">
      <alignment horizontal="right" vertical="center" indent="1"/>
    </xf>
    <xf numFmtId="3" fontId="44" fillId="0" borderId="31" xfId="5" applyNumberFormat="1" applyFont="1" applyBorder="1" applyAlignment="1">
      <alignment horizontal="right" vertical="center" indent="1"/>
    </xf>
    <xf numFmtId="3" fontId="7" fillId="2" borderId="47" xfId="8" applyNumberFormat="1" applyFont="1" applyFill="1" applyBorder="1" applyAlignment="1">
      <alignment horizontal="right" vertical="center" indent="1"/>
    </xf>
    <xf numFmtId="3" fontId="7" fillId="3" borderId="40" xfId="8" applyNumberFormat="1" applyFont="1" applyFill="1" applyBorder="1" applyAlignment="1">
      <alignment horizontal="right" vertical="center" indent="1"/>
    </xf>
    <xf numFmtId="3" fontId="7" fillId="2" borderId="40" xfId="8" applyNumberFormat="1" applyFont="1" applyFill="1" applyBorder="1" applyAlignment="1">
      <alignment horizontal="right" vertical="center" indent="1"/>
    </xf>
    <xf numFmtId="3" fontId="7" fillId="4" borderId="40" xfId="8" applyNumberFormat="1" applyFont="1" applyFill="1" applyBorder="1" applyAlignment="1">
      <alignment horizontal="right" vertical="center" indent="1"/>
    </xf>
    <xf numFmtId="3" fontId="7" fillId="5" borderId="40" xfId="8" applyNumberFormat="1" applyFont="1" applyFill="1" applyBorder="1" applyAlignment="1">
      <alignment horizontal="right" vertical="center" indent="1"/>
    </xf>
    <xf numFmtId="3" fontId="7" fillId="5" borderId="48" xfId="8" applyNumberFormat="1" applyFont="1" applyFill="1" applyBorder="1" applyAlignment="1">
      <alignment horizontal="right" vertical="center" indent="1"/>
    </xf>
    <xf numFmtId="3" fontId="8" fillId="0" borderId="13" xfId="8" applyNumberFormat="1" applyFont="1" applyBorder="1" applyAlignment="1">
      <alignment horizontal="right" vertical="center" indent="1"/>
    </xf>
    <xf numFmtId="3" fontId="8" fillId="0" borderId="10" xfId="8" applyNumberFormat="1" applyFont="1" applyBorder="1" applyAlignment="1">
      <alignment horizontal="right" vertical="center" indent="1"/>
    </xf>
    <xf numFmtId="3" fontId="8" fillId="0" borderId="15" xfId="8" applyNumberFormat="1" applyFont="1" applyBorder="1" applyAlignment="1">
      <alignment horizontal="right" vertical="center" indent="1"/>
    </xf>
    <xf numFmtId="3" fontId="8" fillId="0" borderId="20" xfId="8" applyNumberFormat="1" applyFont="1" applyBorder="1" applyAlignment="1">
      <alignment horizontal="right" vertical="center" indent="1"/>
    </xf>
    <xf numFmtId="3" fontId="7" fillId="0" borderId="45" xfId="8" applyNumberFormat="1" applyFont="1" applyBorder="1" applyAlignment="1">
      <alignment horizontal="right" vertical="center" indent="1"/>
    </xf>
    <xf numFmtId="3" fontId="8" fillId="0" borderId="33" xfId="8" applyNumberFormat="1" applyFont="1" applyBorder="1" applyAlignment="1">
      <alignment horizontal="right" vertical="center" indent="1"/>
    </xf>
    <xf numFmtId="3" fontId="7" fillId="0" borderId="1" xfId="8" applyNumberFormat="1" applyFont="1" applyBorder="1" applyAlignment="1">
      <alignment horizontal="right" vertical="center" indent="1"/>
    </xf>
    <xf numFmtId="0" fontId="3" fillId="0" borderId="0" xfId="3" applyFont="1" applyFill="1" applyBorder="1" applyAlignment="1">
      <alignment vertical="center"/>
    </xf>
    <xf numFmtId="9" fontId="12" fillId="11" borderId="42" xfId="0" applyNumberFormat="1" applyFont="1" applyFill="1" applyBorder="1" applyAlignment="1"/>
    <xf numFmtId="9" fontId="12" fillId="11" borderId="77" xfId="0" applyNumberFormat="1" applyFont="1" applyFill="1" applyBorder="1" applyAlignment="1"/>
    <xf numFmtId="0" fontId="0" fillId="11" borderId="22" xfId="0" applyFill="1" applyBorder="1" applyAlignment="1">
      <alignment horizontal="center"/>
    </xf>
    <xf numFmtId="0" fontId="0" fillId="11" borderId="84" xfId="0" applyFill="1" applyBorder="1" applyAlignment="1">
      <alignment horizontal="center"/>
    </xf>
    <xf numFmtId="0" fontId="0" fillId="11" borderId="24" xfId="0" applyFill="1" applyBorder="1" applyAlignment="1">
      <alignment horizontal="center"/>
    </xf>
    <xf numFmtId="0" fontId="0" fillId="11" borderId="26" xfId="0" applyFill="1" applyBorder="1" applyAlignment="1">
      <alignment horizontal="center"/>
    </xf>
    <xf numFmtId="0" fontId="0" fillId="11" borderId="22" xfId="0" applyFill="1" applyBorder="1" applyAlignment="1">
      <alignment horizontal="center" vertical="center" wrapText="1"/>
    </xf>
    <xf numFmtId="0" fontId="0" fillId="11" borderId="26" xfId="0" applyFill="1" applyBorder="1" applyAlignment="1">
      <alignment horizontal="center" vertical="center" wrapText="1"/>
    </xf>
    <xf numFmtId="0" fontId="0" fillId="12" borderId="64" xfId="0" applyFill="1" applyBorder="1" applyAlignment="1">
      <alignment horizontal="center" vertical="center"/>
    </xf>
    <xf numFmtId="0" fontId="8" fillId="12" borderId="49" xfId="5" applyFont="1" applyFill="1" applyBorder="1" applyAlignment="1">
      <alignment horizontal="left" vertical="center" wrapText="1" indent="1"/>
    </xf>
    <xf numFmtId="0" fontId="8" fillId="12" borderId="50" xfId="5" applyFont="1" applyFill="1" applyBorder="1" applyAlignment="1">
      <alignment horizontal="left" vertical="center" wrapText="1" indent="1"/>
    </xf>
    <xf numFmtId="0" fontId="0" fillId="12" borderId="71" xfId="0" applyFill="1" applyBorder="1" applyAlignment="1">
      <alignment horizontal="center" vertical="center"/>
    </xf>
    <xf numFmtId="0" fontId="8" fillId="12" borderId="51" xfId="5" applyFont="1" applyFill="1" applyBorder="1" applyAlignment="1">
      <alignment horizontal="left" vertical="center" wrapText="1" indent="1"/>
    </xf>
    <xf numFmtId="0" fontId="0" fillId="12" borderId="56" xfId="0" applyFill="1" applyBorder="1" applyAlignment="1">
      <alignment horizontal="center" vertical="center"/>
    </xf>
    <xf numFmtId="0" fontId="12" fillId="12" borderId="1" xfId="0" applyFont="1" applyFill="1" applyBorder="1" applyAlignment="1">
      <alignment horizontal="center" vertical="center"/>
    </xf>
    <xf numFmtId="0" fontId="12" fillId="12" borderId="46" xfId="0" applyFont="1" applyFill="1" applyBorder="1" applyAlignment="1">
      <alignment horizontal="center"/>
    </xf>
    <xf numFmtId="0" fontId="0" fillId="0" borderId="0" xfId="0" applyFill="1" applyBorder="1"/>
    <xf numFmtId="0" fontId="0" fillId="0" borderId="0" xfId="0" applyBorder="1"/>
    <xf numFmtId="0" fontId="0" fillId="11" borderId="107" xfId="0" applyFill="1" applyBorder="1" applyAlignment="1">
      <alignment horizontal="center"/>
    </xf>
    <xf numFmtId="0" fontId="0" fillId="11" borderId="24" xfId="0" applyFill="1" applyBorder="1" applyAlignment="1">
      <alignment horizontal="center" vertical="center" wrapText="1"/>
    </xf>
    <xf numFmtId="0" fontId="0" fillId="13" borderId="64" xfId="0" applyFill="1" applyBorder="1" applyAlignment="1">
      <alignment horizontal="center" vertical="center"/>
    </xf>
    <xf numFmtId="0" fontId="8" fillId="13" borderId="49" xfId="5" applyFont="1" applyFill="1" applyBorder="1" applyAlignment="1">
      <alignment horizontal="left" vertical="center" wrapText="1" indent="1"/>
    </xf>
    <xf numFmtId="0" fontId="0" fillId="13" borderId="71" xfId="0" applyFill="1" applyBorder="1" applyAlignment="1">
      <alignment horizontal="center" vertical="center"/>
    </xf>
    <xf numFmtId="0" fontId="8" fillId="13" borderId="51" xfId="5" applyFont="1" applyFill="1" applyBorder="1" applyAlignment="1">
      <alignment horizontal="left" vertical="center" wrapText="1" indent="1"/>
    </xf>
    <xf numFmtId="0" fontId="0" fillId="13" borderId="56" xfId="0" applyFill="1" applyBorder="1" applyAlignment="1">
      <alignment horizontal="center" vertical="center"/>
    </xf>
    <xf numFmtId="0" fontId="12" fillId="13" borderId="42" xfId="0" applyFont="1" applyFill="1" applyBorder="1" applyAlignment="1">
      <alignment horizontal="center"/>
    </xf>
    <xf numFmtId="0" fontId="12" fillId="13" borderId="46" xfId="0" applyFont="1" applyFill="1" applyBorder="1" applyAlignment="1">
      <alignment horizontal="center"/>
    </xf>
    <xf numFmtId="0" fontId="0" fillId="14" borderId="64" xfId="0" applyFill="1" applyBorder="1" applyAlignment="1">
      <alignment horizontal="center" vertical="center"/>
    </xf>
    <xf numFmtId="0" fontId="8" fillId="14" borderId="49" xfId="5" applyFont="1" applyFill="1" applyBorder="1" applyAlignment="1">
      <alignment horizontal="left" vertical="center" wrapText="1" indent="1"/>
    </xf>
    <xf numFmtId="0" fontId="8" fillId="14" borderId="50" xfId="5" applyFont="1" applyFill="1" applyBorder="1" applyAlignment="1">
      <alignment horizontal="left" vertical="center" wrapText="1" indent="1"/>
    </xf>
    <xf numFmtId="0" fontId="0" fillId="14" borderId="71" xfId="0" applyFill="1" applyBorder="1" applyAlignment="1">
      <alignment horizontal="center" vertical="center"/>
    </xf>
    <xf numFmtId="0" fontId="8" fillId="14" borderId="51" xfId="5" applyFont="1" applyFill="1" applyBorder="1" applyAlignment="1">
      <alignment horizontal="left" vertical="center" wrapText="1" indent="1"/>
    </xf>
    <xf numFmtId="0" fontId="0" fillId="14" borderId="49" xfId="0" applyFill="1" applyBorder="1" applyAlignment="1">
      <alignment horizontal="center" vertical="center"/>
    </xf>
    <xf numFmtId="0" fontId="0" fillId="14" borderId="50" xfId="0" applyFill="1" applyBorder="1" applyAlignment="1">
      <alignment horizontal="center" vertical="center"/>
    </xf>
    <xf numFmtId="0" fontId="0" fillId="14" borderId="51" xfId="0" applyFill="1" applyBorder="1" applyAlignment="1">
      <alignment horizontal="center" vertical="center"/>
    </xf>
    <xf numFmtId="0" fontId="12" fillId="14" borderId="46" xfId="0" applyFont="1" applyFill="1" applyBorder="1" applyAlignment="1">
      <alignment horizontal="center"/>
    </xf>
    <xf numFmtId="0" fontId="0" fillId="15" borderId="64" xfId="0" applyFill="1" applyBorder="1" applyAlignment="1">
      <alignment horizontal="center" vertical="center"/>
    </xf>
    <xf numFmtId="0" fontId="8" fillId="15" borderId="49" xfId="5" applyFont="1" applyFill="1" applyBorder="1" applyAlignment="1">
      <alignment horizontal="left" vertical="center" wrapText="1" indent="1"/>
    </xf>
    <xf numFmtId="0" fontId="8" fillId="15" borderId="50" xfId="5" applyFont="1" applyFill="1" applyBorder="1" applyAlignment="1">
      <alignment horizontal="left" vertical="center" wrapText="1" indent="1"/>
    </xf>
    <xf numFmtId="0" fontId="0" fillId="15" borderId="71" xfId="0" applyFill="1" applyBorder="1" applyAlignment="1">
      <alignment horizontal="center" vertical="center"/>
    </xf>
    <xf numFmtId="0" fontId="8" fillId="15" borderId="51" xfId="5" applyFont="1" applyFill="1" applyBorder="1" applyAlignment="1">
      <alignment horizontal="left" vertical="center" wrapText="1" indent="1"/>
    </xf>
    <xf numFmtId="0" fontId="0" fillId="15" borderId="56" xfId="0" applyFill="1" applyBorder="1" applyAlignment="1">
      <alignment horizontal="center" vertical="center"/>
    </xf>
    <xf numFmtId="0" fontId="12" fillId="15" borderId="42" xfId="0" applyFont="1" applyFill="1" applyBorder="1" applyAlignment="1">
      <alignment horizontal="center"/>
    </xf>
    <xf numFmtId="0" fontId="12" fillId="15" borderId="46" xfId="0" applyFont="1" applyFill="1" applyBorder="1" applyAlignment="1">
      <alignment horizontal="center"/>
    </xf>
    <xf numFmtId="0" fontId="12" fillId="0" borderId="0" xfId="0" applyFont="1" applyFill="1" applyBorder="1" applyAlignment="1">
      <alignment horizontal="center"/>
    </xf>
    <xf numFmtId="3" fontId="8" fillId="0" borderId="0" xfId="8" applyNumberFormat="1" applyFont="1"/>
    <xf numFmtId="0" fontId="3" fillId="0" borderId="0" xfId="5" applyFont="1" applyAlignment="1">
      <alignment vertical="center"/>
    </xf>
    <xf numFmtId="0" fontId="6" fillId="0" borderId="0" xfId="12" applyFont="1" applyAlignment="1">
      <alignment vertical="center"/>
    </xf>
    <xf numFmtId="0" fontId="36" fillId="0" borderId="0" xfId="12" applyFont="1" applyAlignment="1">
      <alignment vertical="center"/>
    </xf>
    <xf numFmtId="0" fontId="44" fillId="0" borderId="57" xfId="12" applyFont="1" applyBorder="1" applyAlignment="1">
      <alignment horizontal="centerContinuous" vertical="center"/>
    </xf>
    <xf numFmtId="0" fontId="44" fillId="0" borderId="58" xfId="12" applyFont="1" applyBorder="1" applyAlignment="1">
      <alignment horizontal="centerContinuous" vertical="center"/>
    </xf>
    <xf numFmtId="0" fontId="44" fillId="0" borderId="85" xfId="12" applyFont="1" applyBorder="1" applyAlignment="1">
      <alignment horizontal="center" vertical="center" wrapText="1"/>
    </xf>
    <xf numFmtId="0" fontId="44" fillId="0" borderId="23" xfId="12" applyFont="1" applyBorder="1" applyAlignment="1">
      <alignment horizontal="center" vertical="center" wrapText="1"/>
    </xf>
    <xf numFmtId="0" fontId="8" fillId="0" borderId="110" xfId="5" applyFont="1" applyBorder="1" applyAlignment="1">
      <alignment horizontal="center" vertical="center" wrapText="1"/>
    </xf>
    <xf numFmtId="0" fontId="6" fillId="0" borderId="12" xfId="12" applyFont="1" applyBorder="1" applyAlignment="1">
      <alignment horizontal="left" vertical="center" indent="1"/>
    </xf>
    <xf numFmtId="3" fontId="6" fillId="0" borderId="44" xfId="12" applyNumberFormat="1" applyFont="1" applyBorder="1" applyAlignment="1">
      <alignment horizontal="right" vertical="center" indent="1"/>
    </xf>
    <xf numFmtId="3" fontId="6" fillId="0" borderId="17" xfId="12" applyNumberFormat="1" applyFont="1" applyBorder="1" applyAlignment="1">
      <alignment horizontal="right" vertical="center" indent="1"/>
    </xf>
    <xf numFmtId="3" fontId="6" fillId="0" borderId="12" xfId="12" applyNumberFormat="1" applyFont="1" applyFill="1" applyBorder="1" applyAlignment="1">
      <alignment horizontal="right" vertical="center" indent="1"/>
    </xf>
    <xf numFmtId="0" fontId="8" fillId="0" borderId="111" xfId="5" applyFont="1" applyBorder="1" applyAlignment="1">
      <alignment horizontal="center" vertical="center" wrapText="1"/>
    </xf>
    <xf numFmtId="0" fontId="6" fillId="0" borderId="19" xfId="12" applyFont="1" applyBorder="1" applyAlignment="1">
      <alignment horizontal="left" vertical="center" indent="1"/>
    </xf>
    <xf numFmtId="0" fontId="8" fillId="0" borderId="112" xfId="5" applyFont="1" applyBorder="1" applyAlignment="1">
      <alignment horizontal="center" vertical="center" wrapText="1"/>
    </xf>
    <xf numFmtId="0" fontId="6" fillId="0" borderId="37" xfId="12" applyFont="1" applyBorder="1" applyAlignment="1">
      <alignment horizontal="left" vertical="center" indent="1"/>
    </xf>
    <xf numFmtId="3" fontId="6" fillId="0" borderId="65" xfId="12" applyNumberFormat="1" applyFont="1" applyBorder="1" applyAlignment="1">
      <alignment horizontal="right" vertical="center" indent="1"/>
    </xf>
    <xf numFmtId="3" fontId="6" fillId="0" borderId="66" xfId="12" applyNumberFormat="1" applyFont="1" applyBorder="1" applyAlignment="1">
      <alignment horizontal="right" vertical="center" indent="1"/>
    </xf>
    <xf numFmtId="0" fontId="6" fillId="0" borderId="71" xfId="12" applyFont="1" applyBorder="1" applyAlignment="1">
      <alignment vertical="center"/>
    </xf>
    <xf numFmtId="0" fontId="5" fillId="0" borderId="4" xfId="12" applyFont="1" applyBorder="1" applyAlignment="1">
      <alignment horizontal="left" vertical="center" indent="1"/>
    </xf>
    <xf numFmtId="3" fontId="5" fillId="0" borderId="41" xfId="12" applyNumberFormat="1" applyFont="1" applyBorder="1" applyAlignment="1">
      <alignment horizontal="right" vertical="center" indent="1"/>
    </xf>
    <xf numFmtId="3" fontId="5" fillId="0" borderId="2" xfId="12" applyNumberFormat="1" applyFont="1" applyBorder="1" applyAlignment="1">
      <alignment horizontal="right" vertical="center" indent="1"/>
    </xf>
    <xf numFmtId="3" fontId="5" fillId="0" borderId="4" xfId="12" applyNumberFormat="1" applyFont="1" applyFill="1" applyBorder="1" applyAlignment="1">
      <alignment horizontal="right" vertical="center" indent="1"/>
    </xf>
    <xf numFmtId="0" fontId="6" fillId="0" borderId="0" xfId="0" applyFont="1" applyAlignment="1">
      <alignment vertical="center"/>
    </xf>
    <xf numFmtId="0" fontId="6" fillId="0" borderId="14" xfId="12" applyFont="1" applyBorder="1" applyAlignment="1">
      <alignment vertical="center"/>
    </xf>
    <xf numFmtId="0" fontId="6" fillId="0" borderId="21" xfId="12" applyFont="1" applyBorder="1" applyAlignment="1">
      <alignment vertical="center"/>
    </xf>
    <xf numFmtId="0" fontId="6" fillId="0" borderId="54" xfId="12" applyFont="1" applyBorder="1" applyAlignment="1">
      <alignment vertical="center"/>
    </xf>
    <xf numFmtId="0" fontId="6" fillId="0" borderId="16" xfId="12" applyFont="1" applyBorder="1" applyAlignment="1">
      <alignment vertical="center"/>
    </xf>
    <xf numFmtId="4" fontId="6" fillId="0" borderId="16" xfId="12" applyNumberFormat="1" applyFont="1" applyBorder="1" applyAlignment="1">
      <alignment horizontal="right" vertical="center" indent="1"/>
    </xf>
    <xf numFmtId="0" fontId="6" fillId="0" borderId="17" xfId="12" applyFont="1" applyBorder="1" applyAlignment="1">
      <alignment vertical="center"/>
    </xf>
    <xf numFmtId="0" fontId="6" fillId="0" borderId="18" xfId="12" applyFont="1" applyBorder="1" applyAlignment="1">
      <alignment vertical="center"/>
    </xf>
    <xf numFmtId="0" fontId="6" fillId="0" borderId="93" xfId="12" applyFont="1" applyBorder="1" applyAlignment="1">
      <alignment vertical="center"/>
    </xf>
    <xf numFmtId="0" fontId="6" fillId="0" borderId="44" xfId="12" applyFont="1" applyBorder="1" applyAlignment="1">
      <alignment vertical="center"/>
    </xf>
    <xf numFmtId="3" fontId="6" fillId="0" borderId="16" xfId="12" applyNumberFormat="1" applyFont="1" applyFill="1" applyBorder="1" applyAlignment="1">
      <alignment horizontal="right" vertical="center" indent="1"/>
    </xf>
    <xf numFmtId="3" fontId="6" fillId="0" borderId="44" xfId="12" applyNumberFormat="1" applyFont="1" applyFill="1" applyBorder="1" applyAlignment="1">
      <alignment horizontal="right" vertical="center" indent="1"/>
    </xf>
    <xf numFmtId="0" fontId="7" fillId="0" borderId="0" xfId="8" applyFont="1" applyAlignment="1">
      <alignment horizontal="right"/>
    </xf>
    <xf numFmtId="0" fontId="8" fillId="0" borderId="13" xfId="8" applyFont="1" applyBorder="1" applyAlignment="1">
      <alignment horizontal="center" vertical="center"/>
    </xf>
    <xf numFmtId="0" fontId="8" fillId="0" borderId="10" xfId="5" applyFont="1" applyBorder="1" applyAlignment="1">
      <alignment horizontal="left" vertical="center" wrapText="1" indent="1"/>
    </xf>
    <xf numFmtId="0" fontId="8" fillId="0" borderId="39" xfId="5" applyFont="1" applyBorder="1" applyAlignment="1">
      <alignment horizontal="left" vertical="center" wrapText="1" indent="1"/>
    </xf>
    <xf numFmtId="3" fontId="8" fillId="0" borderId="13" xfId="5" applyNumberFormat="1" applyFont="1" applyBorder="1" applyAlignment="1">
      <alignment horizontal="right" vertical="center" wrapText="1" indent="1"/>
    </xf>
    <xf numFmtId="10" fontId="8" fillId="0" borderId="39" xfId="5" applyNumberFormat="1" applyFont="1" applyBorder="1" applyAlignment="1">
      <alignment horizontal="right" vertical="center" wrapText="1" indent="1"/>
    </xf>
    <xf numFmtId="166" fontId="8" fillId="0" borderId="13" xfId="5" applyNumberFormat="1" applyFont="1" applyBorder="1" applyAlignment="1">
      <alignment horizontal="right" vertical="center" wrapText="1" indent="1"/>
    </xf>
    <xf numFmtId="4" fontId="8" fillId="0" borderId="9" xfId="5" applyNumberFormat="1" applyFont="1" applyBorder="1" applyAlignment="1">
      <alignment horizontal="right" vertical="center" wrapText="1" indent="1"/>
    </xf>
    <xf numFmtId="3" fontId="8" fillId="0" borderId="10" xfId="1" applyNumberFormat="1" applyFont="1" applyBorder="1" applyAlignment="1">
      <alignment horizontal="right" vertical="center" wrapText="1" indent="1"/>
    </xf>
    <xf numFmtId="10" fontId="8" fillId="0" borderId="39" xfId="1" applyNumberFormat="1" applyFont="1" applyBorder="1" applyAlignment="1">
      <alignment horizontal="right" vertical="center" wrapText="1" indent="1"/>
    </xf>
    <xf numFmtId="3" fontId="8" fillId="0" borderId="13" xfId="1" applyNumberFormat="1" applyFont="1" applyBorder="1" applyAlignment="1">
      <alignment horizontal="right" vertical="center" wrapText="1" indent="1"/>
    </xf>
    <xf numFmtId="10" fontId="8" fillId="0" borderId="13" xfId="1" applyNumberFormat="1" applyFont="1" applyBorder="1" applyAlignment="1">
      <alignment horizontal="right" vertical="center" wrapText="1" indent="1"/>
    </xf>
    <xf numFmtId="3" fontId="8" fillId="0" borderId="39" xfId="1" applyNumberFormat="1" applyFont="1" applyBorder="1" applyAlignment="1">
      <alignment horizontal="right" vertical="center" wrapText="1" indent="1"/>
    </xf>
    <xf numFmtId="0" fontId="8" fillId="0" borderId="40" xfId="5" applyFont="1" applyBorder="1" applyAlignment="1">
      <alignment horizontal="left" vertical="center" wrapText="1" indent="1"/>
    </xf>
    <xf numFmtId="3" fontId="8" fillId="0" borderId="20" xfId="5" applyNumberFormat="1" applyFont="1" applyBorder="1" applyAlignment="1">
      <alignment horizontal="right" vertical="center" wrapText="1" indent="1"/>
    </xf>
    <xf numFmtId="10" fontId="8" fillId="0" borderId="40" xfId="5" applyNumberFormat="1" applyFont="1" applyBorder="1" applyAlignment="1">
      <alignment horizontal="right" vertical="center" wrapText="1" indent="1"/>
    </xf>
    <xf numFmtId="166" fontId="8" fillId="0" borderId="20" xfId="5" applyNumberFormat="1" applyFont="1" applyBorder="1" applyAlignment="1">
      <alignment horizontal="right" vertical="center" wrapText="1" indent="1"/>
    </xf>
    <xf numFmtId="4" fontId="8" fillId="0" borderId="16" xfId="5" applyNumberFormat="1" applyFont="1" applyBorder="1" applyAlignment="1">
      <alignment horizontal="right" vertical="center" wrapText="1" indent="1"/>
    </xf>
    <xf numFmtId="3" fontId="8" fillId="0" borderId="14" xfId="1" applyNumberFormat="1" applyFont="1" applyBorder="1" applyAlignment="1">
      <alignment horizontal="right" vertical="center" wrapText="1" indent="1"/>
    </xf>
    <xf numFmtId="10" fontId="8" fillId="0" borderId="40" xfId="1" applyNumberFormat="1" applyFont="1" applyBorder="1" applyAlignment="1">
      <alignment horizontal="right" vertical="center" wrapText="1" indent="1"/>
    </xf>
    <xf numFmtId="3" fontId="8" fillId="0" borderId="20" xfId="1" applyNumberFormat="1" applyFont="1" applyBorder="1" applyAlignment="1">
      <alignment horizontal="right" vertical="center" wrapText="1" indent="1"/>
    </xf>
    <xf numFmtId="10" fontId="8" fillId="0" borderId="20" xfId="1" applyNumberFormat="1" applyFont="1" applyBorder="1" applyAlignment="1">
      <alignment horizontal="right" vertical="center" wrapText="1" indent="1"/>
    </xf>
    <xf numFmtId="3" fontId="8" fillId="0" borderId="40" xfId="1" applyNumberFormat="1" applyFont="1" applyBorder="1" applyAlignment="1">
      <alignment horizontal="right" vertical="center" wrapText="1" indent="1"/>
    </xf>
    <xf numFmtId="0" fontId="8" fillId="0" borderId="23" xfId="5" applyFont="1" applyBorder="1" applyAlignment="1">
      <alignment horizontal="left" vertical="center" wrapText="1" indent="1"/>
    </xf>
    <xf numFmtId="3" fontId="8" fillId="0" borderId="33" xfId="5" applyNumberFormat="1" applyFont="1" applyBorder="1" applyAlignment="1">
      <alignment horizontal="right" vertical="center" wrapText="1" indent="1"/>
    </xf>
    <xf numFmtId="10" fontId="8" fillId="0" borderId="48" xfId="5" applyNumberFormat="1" applyFont="1" applyBorder="1" applyAlignment="1">
      <alignment horizontal="right" vertical="center" wrapText="1" indent="1"/>
    </xf>
    <xf numFmtId="166" fontId="8" fillId="0" borderId="22" xfId="5" applyNumberFormat="1" applyFont="1" applyBorder="1" applyAlignment="1">
      <alignment horizontal="right" vertical="center" wrapText="1" indent="1"/>
    </xf>
    <xf numFmtId="4" fontId="8" fillId="0" borderId="36" xfId="5" applyNumberFormat="1" applyFont="1" applyBorder="1" applyAlignment="1">
      <alignment horizontal="right" vertical="center" wrapText="1" indent="1"/>
    </xf>
    <xf numFmtId="3" fontId="8" fillId="0" borderId="34" xfId="1" applyNumberFormat="1" applyFont="1" applyBorder="1" applyAlignment="1">
      <alignment horizontal="right" vertical="center" wrapText="1" indent="1"/>
    </xf>
    <xf numFmtId="10" fontId="8" fillId="0" borderId="48" xfId="1" applyNumberFormat="1" applyFont="1" applyBorder="1" applyAlignment="1">
      <alignment horizontal="right" vertical="center" wrapText="1" indent="1"/>
    </xf>
    <xf numFmtId="3" fontId="8" fillId="0" borderId="33" xfId="1" applyNumberFormat="1" applyFont="1" applyBorder="1" applyAlignment="1">
      <alignment horizontal="right" vertical="center" wrapText="1" indent="1"/>
    </xf>
    <xf numFmtId="10" fontId="8" fillId="0" borderId="22" xfId="1" applyNumberFormat="1" applyFont="1" applyBorder="1" applyAlignment="1">
      <alignment horizontal="right" vertical="center" wrapText="1" indent="1"/>
    </xf>
    <xf numFmtId="3" fontId="8" fillId="0" borderId="48" xfId="1" applyNumberFormat="1" applyFont="1" applyBorder="1" applyAlignment="1">
      <alignment horizontal="right" vertical="center" wrapText="1" indent="1"/>
    </xf>
    <xf numFmtId="3" fontId="7" fillId="0" borderId="1" xfId="0" applyNumberFormat="1" applyFont="1" applyBorder="1" applyAlignment="1">
      <alignment horizontal="right" indent="1"/>
    </xf>
    <xf numFmtId="10" fontId="7" fillId="0" borderId="45" xfId="0" applyNumberFormat="1" applyFont="1" applyBorder="1" applyAlignment="1">
      <alignment horizontal="right" indent="1"/>
    </xf>
    <xf numFmtId="166" fontId="7" fillId="0" borderId="42" xfId="0" applyNumberFormat="1" applyFont="1" applyBorder="1" applyAlignment="1">
      <alignment horizontal="right" indent="1"/>
    </xf>
    <xf numFmtId="4" fontId="7" fillId="0" borderId="2" xfId="0" applyNumberFormat="1" applyFont="1" applyBorder="1" applyAlignment="1">
      <alignment horizontal="right" indent="1"/>
    </xf>
    <xf numFmtId="3" fontId="7" fillId="0" borderId="2" xfId="1" applyNumberFormat="1" applyFont="1" applyBorder="1" applyAlignment="1">
      <alignment horizontal="right" indent="1"/>
    </xf>
    <xf numFmtId="10" fontId="7" fillId="0" borderId="45" xfId="1" applyNumberFormat="1" applyFont="1" applyBorder="1" applyAlignment="1">
      <alignment horizontal="right" indent="1"/>
    </xf>
    <xf numFmtId="3" fontId="7" fillId="0" borderId="1" xfId="1" applyNumberFormat="1" applyFont="1" applyBorder="1" applyAlignment="1">
      <alignment horizontal="right" indent="1"/>
    </xf>
    <xf numFmtId="10" fontId="7" fillId="0" borderId="42" xfId="1" applyNumberFormat="1" applyFont="1" applyBorder="1" applyAlignment="1">
      <alignment horizontal="right" indent="1"/>
    </xf>
    <xf numFmtId="3" fontId="7" fillId="0" borderId="4" xfId="1" applyNumberFormat="1" applyFont="1" applyBorder="1" applyAlignment="1">
      <alignment horizontal="right" indent="1"/>
    </xf>
    <xf numFmtId="0" fontId="8" fillId="0" borderId="0" xfId="8" applyFont="1" applyBorder="1" applyAlignment="1">
      <alignment horizontal="left" vertical="center"/>
    </xf>
    <xf numFmtId="0" fontId="7" fillId="0" borderId="0" xfId="8" applyFont="1" applyBorder="1" applyAlignment="1">
      <alignment horizontal="center" vertical="center"/>
    </xf>
    <xf numFmtId="3" fontId="7" fillId="0" borderId="0" xfId="0" applyNumberFormat="1" applyFont="1" applyBorder="1" applyAlignment="1">
      <alignment horizontal="right" indent="1"/>
    </xf>
    <xf numFmtId="10" fontId="7" fillId="0" borderId="0" xfId="0" applyNumberFormat="1" applyFont="1" applyBorder="1" applyAlignment="1">
      <alignment horizontal="right" indent="1"/>
    </xf>
    <xf numFmtId="166" fontId="7" fillId="0" borderId="0" xfId="0" applyNumberFormat="1" applyFont="1" applyBorder="1" applyAlignment="1">
      <alignment horizontal="right" indent="1"/>
    </xf>
    <xf numFmtId="4" fontId="7" fillId="0" borderId="0" xfId="0" applyNumberFormat="1" applyFont="1" applyBorder="1" applyAlignment="1">
      <alignment horizontal="right" indent="1"/>
    </xf>
    <xf numFmtId="3" fontId="7" fillId="0" borderId="0" xfId="1" applyNumberFormat="1" applyFont="1" applyBorder="1" applyAlignment="1">
      <alignment horizontal="right" indent="1"/>
    </xf>
    <xf numFmtId="10" fontId="7" fillId="0" borderId="0" xfId="1" applyNumberFormat="1" applyFont="1" applyBorder="1" applyAlignment="1">
      <alignment horizontal="right" indent="1"/>
    </xf>
    <xf numFmtId="166" fontId="8" fillId="0" borderId="20" xfId="5" applyNumberFormat="1" applyFont="1" applyFill="1" applyBorder="1" applyAlignment="1">
      <alignment horizontal="right" vertical="center" wrapText="1" indent="1"/>
    </xf>
    <xf numFmtId="0" fontId="33" fillId="0" borderId="0" xfId="5" applyFont="1" applyAlignment="1">
      <alignment horizontal="left" vertical="center" wrapText="1"/>
    </xf>
    <xf numFmtId="0" fontId="8" fillId="0" borderId="0" xfId="5" applyFont="1"/>
    <xf numFmtId="0" fontId="8" fillId="0" borderId="21" xfId="5" applyFont="1" applyBorder="1" applyAlignment="1"/>
    <xf numFmtId="0" fontId="8" fillId="0" borderId="54" xfId="5" applyFont="1" applyBorder="1" applyAlignment="1"/>
    <xf numFmtId="0" fontId="8" fillId="0" borderId="16" xfId="5" applyFont="1" applyBorder="1" applyAlignment="1"/>
    <xf numFmtId="3" fontId="8" fillId="0" borderId="14" xfId="5" applyNumberFormat="1" applyFont="1" applyBorder="1" applyAlignment="1">
      <alignment horizontal="right" indent="1"/>
    </xf>
    <xf numFmtId="169" fontId="8" fillId="0" borderId="14" xfId="5" applyNumberFormat="1" applyFont="1" applyBorder="1" applyAlignment="1">
      <alignment horizontal="right" indent="1"/>
    </xf>
    <xf numFmtId="0" fontId="38" fillId="0" borderId="0" xfId="5" applyFont="1" applyBorder="1" applyAlignment="1">
      <alignment horizontal="left"/>
    </xf>
    <xf numFmtId="169" fontId="38" fillId="0" borderId="0" xfId="5" applyNumberFormat="1" applyFont="1" applyBorder="1" applyAlignment="1">
      <alignment horizontal="right"/>
    </xf>
    <xf numFmtId="0" fontId="38" fillId="0" borderId="0" xfId="5" applyFont="1"/>
    <xf numFmtId="0" fontId="38" fillId="0" borderId="0" xfId="5" applyFont="1" applyAlignment="1">
      <alignment horizontal="right" indent="1"/>
    </xf>
    <xf numFmtId="0" fontId="7" fillId="0" borderId="85" xfId="5" applyFont="1" applyFill="1" applyBorder="1" applyAlignment="1">
      <alignment horizontal="center" vertical="center" wrapText="1"/>
    </xf>
    <xf numFmtId="0" fontId="7" fillId="0" borderId="24" xfId="5" applyFont="1" applyFill="1" applyBorder="1" applyAlignment="1">
      <alignment horizontal="center" vertical="center" wrapText="1"/>
    </xf>
    <xf numFmtId="49" fontId="48" fillId="0" borderId="43" xfId="5" applyNumberFormat="1" applyFont="1" applyFill="1" applyBorder="1" applyAlignment="1">
      <alignment horizontal="center" vertical="center"/>
    </xf>
    <xf numFmtId="0" fontId="48" fillId="0" borderId="12" xfId="5" applyFont="1" applyFill="1" applyBorder="1" applyAlignment="1">
      <alignment horizontal="left" vertical="center" indent="1"/>
    </xf>
    <xf numFmtId="3" fontId="6" fillId="0" borderId="44" xfId="6" applyNumberFormat="1" applyFont="1" applyFill="1" applyBorder="1" applyAlignment="1">
      <alignment horizontal="right" vertical="center" indent="1"/>
    </xf>
    <xf numFmtId="3" fontId="6" fillId="0" borderId="18" xfId="6" applyNumberFormat="1" applyFont="1" applyFill="1" applyBorder="1" applyAlignment="1">
      <alignment horizontal="right" vertical="center" indent="1"/>
    </xf>
    <xf numFmtId="3" fontId="7" fillId="0" borderId="113" xfId="5" applyNumberFormat="1" applyFont="1" applyBorder="1" applyAlignment="1">
      <alignment horizontal="right" vertical="center" indent="1"/>
    </xf>
    <xf numFmtId="49" fontId="48" fillId="0" borderId="20" xfId="5" applyNumberFormat="1" applyFont="1" applyFill="1" applyBorder="1" applyAlignment="1">
      <alignment horizontal="center" vertical="center"/>
    </xf>
    <xf numFmtId="0" fontId="48" fillId="0" borderId="19" xfId="5" applyFont="1" applyFill="1" applyBorder="1" applyAlignment="1">
      <alignment horizontal="left" vertical="center" indent="1"/>
    </xf>
    <xf numFmtId="3" fontId="6" fillId="0" borderId="16" xfId="6" applyNumberFormat="1" applyFont="1" applyFill="1" applyBorder="1" applyAlignment="1">
      <alignment horizontal="right" vertical="center" indent="1"/>
    </xf>
    <xf numFmtId="3" fontId="6" fillId="0" borderId="21" xfId="6" applyNumberFormat="1" applyFont="1" applyFill="1" applyBorder="1" applyAlignment="1">
      <alignment horizontal="right" vertical="center" indent="1"/>
    </xf>
    <xf numFmtId="3" fontId="6" fillId="0" borderId="16" xfId="5" applyNumberFormat="1" applyFont="1" applyFill="1" applyBorder="1" applyAlignment="1">
      <alignment horizontal="right" vertical="center" indent="1"/>
    </xf>
    <xf numFmtId="3" fontId="6" fillId="0" borderId="21" xfId="5" applyNumberFormat="1" applyFont="1" applyFill="1" applyBorder="1" applyAlignment="1">
      <alignment horizontal="right" vertical="center" indent="1"/>
    </xf>
    <xf numFmtId="3" fontId="7" fillId="0" borderId="113" xfId="5" quotePrefix="1" applyNumberFormat="1" applyFont="1" applyBorder="1" applyAlignment="1">
      <alignment horizontal="right" vertical="center" indent="1"/>
    </xf>
    <xf numFmtId="49" fontId="48" fillId="0" borderId="33" xfId="5" applyNumberFormat="1" applyFont="1" applyFill="1" applyBorder="1" applyAlignment="1">
      <alignment horizontal="center" vertical="center"/>
    </xf>
    <xf numFmtId="0" fontId="48" fillId="0" borderId="37" xfId="5" applyFont="1" applyFill="1" applyBorder="1" applyAlignment="1">
      <alignment horizontal="left" vertical="center" indent="1"/>
    </xf>
    <xf numFmtId="3" fontId="8" fillId="0" borderId="36" xfId="5" applyNumberFormat="1" applyFont="1" applyFill="1" applyBorder="1" applyAlignment="1">
      <alignment horizontal="right" vertical="center" indent="1"/>
    </xf>
    <xf numFmtId="3" fontId="8" fillId="0" borderId="35" xfId="5" applyNumberFormat="1" applyFont="1" applyFill="1" applyBorder="1" applyAlignment="1">
      <alignment horizontal="right" vertical="center" indent="1"/>
    </xf>
    <xf numFmtId="3" fontId="7" fillId="0" borderId="41" xfId="5" applyNumberFormat="1" applyFont="1" applyFill="1" applyBorder="1" applyAlignment="1">
      <alignment horizontal="right" vertical="center" indent="1"/>
    </xf>
    <xf numFmtId="3" fontId="7" fillId="0" borderId="3" xfId="5" applyNumberFormat="1" applyFont="1" applyFill="1" applyBorder="1" applyAlignment="1">
      <alignment horizontal="right" vertical="center" indent="1"/>
    </xf>
    <xf numFmtId="3" fontId="7" fillId="0" borderId="46" xfId="5" applyNumberFormat="1" applyFont="1" applyBorder="1" applyAlignment="1">
      <alignment horizontal="right" vertical="center" indent="1"/>
    </xf>
    <xf numFmtId="0" fontId="8" fillId="0" borderId="0" xfId="8" applyFont="1" applyAlignment="1">
      <alignment vertical="center"/>
    </xf>
    <xf numFmtId="0" fontId="38" fillId="0" borderId="21" xfId="8" applyFont="1" applyBorder="1" applyAlignment="1">
      <alignment vertical="center"/>
    </xf>
    <xf numFmtId="0" fontId="38" fillId="0" borderId="54" xfId="8" applyFont="1" applyBorder="1" applyAlignment="1">
      <alignment vertical="center"/>
    </xf>
    <xf numFmtId="0" fontId="38" fillId="0" borderId="16" xfId="8" applyFont="1" applyBorder="1" applyAlignment="1">
      <alignment vertical="center"/>
    </xf>
    <xf numFmtId="3" fontId="38" fillId="0" borderId="14" xfId="8" applyNumberFormat="1" applyFont="1" applyBorder="1" applyAlignment="1">
      <alignment horizontal="right" vertical="center" indent="1"/>
    </xf>
    <xf numFmtId="10" fontId="38" fillId="0" borderId="14" xfId="1" applyNumberFormat="1" applyFont="1" applyBorder="1" applyAlignment="1">
      <alignment horizontal="right" vertical="center" indent="1"/>
    </xf>
    <xf numFmtId="0" fontId="38" fillId="0" borderId="0" xfId="8" applyFont="1" applyBorder="1" applyAlignment="1">
      <alignment vertical="center"/>
    </xf>
    <xf numFmtId="0" fontId="49" fillId="0" borderId="0" xfId="8" applyFont="1" applyBorder="1" applyAlignment="1">
      <alignment vertical="center"/>
    </xf>
    <xf numFmtId="168" fontId="38" fillId="0" borderId="0" xfId="8" applyNumberFormat="1" applyFont="1" applyBorder="1" applyAlignment="1">
      <alignment horizontal="right" vertical="center"/>
    </xf>
    <xf numFmtId="0" fontId="38" fillId="0" borderId="0" xfId="8" applyFont="1" applyAlignment="1">
      <alignment vertical="center"/>
    </xf>
    <xf numFmtId="0" fontId="50" fillId="0" borderId="0" xfId="8" applyFont="1" applyAlignment="1">
      <alignment horizontal="center" vertical="center"/>
    </xf>
    <xf numFmtId="0" fontId="38" fillId="0" borderId="0" xfId="8" applyFont="1" applyAlignment="1">
      <alignment horizontal="right" vertical="center"/>
    </xf>
    <xf numFmtId="0" fontId="48" fillId="0" borderId="37" xfId="8" applyFont="1" applyFill="1" applyBorder="1" applyAlignment="1">
      <alignment horizontal="left" vertical="center" indent="1"/>
    </xf>
    <xf numFmtId="0" fontId="52" fillId="0" borderId="0" xfId="8" applyFont="1" applyAlignment="1">
      <alignment vertical="center"/>
    </xf>
    <xf numFmtId="165" fontId="53" fillId="0" borderId="0" xfId="8" applyNumberFormat="1" applyFont="1" applyAlignment="1">
      <alignment vertical="center"/>
    </xf>
    <xf numFmtId="3" fontId="0" fillId="0" borderId="19" xfId="0" applyNumberFormat="1" applyBorder="1" applyAlignment="1">
      <alignment horizontal="right" indent="1"/>
    </xf>
    <xf numFmtId="10" fontId="0" fillId="0" borderId="15" xfId="1" applyNumberFormat="1" applyFont="1" applyBorder="1" applyAlignment="1">
      <alignment horizontal="right" indent="1"/>
    </xf>
    <xf numFmtId="3" fontId="0" fillId="0" borderId="20" xfId="0" applyNumberFormat="1" applyBorder="1" applyAlignment="1">
      <alignment horizontal="right" indent="1"/>
    </xf>
    <xf numFmtId="10" fontId="0" fillId="0" borderId="19" xfId="1" applyNumberFormat="1" applyFont="1" applyBorder="1" applyAlignment="1">
      <alignment horizontal="right" indent="1"/>
    </xf>
    <xf numFmtId="0" fontId="17" fillId="6" borderId="42" xfId="10" applyFont="1" applyFill="1" applyBorder="1" applyAlignment="1">
      <alignment vertical="center"/>
    </xf>
    <xf numFmtId="3" fontId="25" fillId="6" borderId="1" xfId="10" applyNumberFormat="1" applyFont="1" applyFill="1" applyBorder="1" applyAlignment="1">
      <alignment vertical="center"/>
    </xf>
    <xf numFmtId="3" fontId="25" fillId="6" borderId="2" xfId="10" applyNumberFormat="1" applyFont="1" applyFill="1" applyBorder="1" applyAlignment="1">
      <alignment vertical="center"/>
    </xf>
    <xf numFmtId="0" fontId="14" fillId="6" borderId="3" xfId="10" applyFont="1" applyFill="1" applyBorder="1" applyAlignment="1">
      <alignment vertical="center"/>
    </xf>
    <xf numFmtId="3" fontId="15" fillId="6" borderId="77" xfId="10" applyNumberFormat="1" applyFont="1" applyFill="1" applyBorder="1" applyAlignment="1">
      <alignment vertical="center"/>
    </xf>
    <xf numFmtId="0" fontId="15" fillId="6" borderId="77" xfId="10" applyFont="1" applyFill="1" applyBorder="1" applyAlignment="1">
      <alignment vertical="center"/>
    </xf>
    <xf numFmtId="3" fontId="33" fillId="8" borderId="94" xfId="10" applyNumberFormat="1" applyFont="1" applyFill="1" applyBorder="1" applyAlignment="1">
      <alignment horizontal="right" vertical="center"/>
    </xf>
    <xf numFmtId="3" fontId="33" fillId="7" borderId="95" xfId="10" applyNumberFormat="1" applyFont="1" applyFill="1" applyBorder="1" applyAlignment="1">
      <alignment horizontal="right" vertical="center"/>
    </xf>
    <xf numFmtId="3" fontId="33" fillId="10" borderId="95" xfId="10" applyNumberFormat="1" applyFont="1" applyFill="1" applyBorder="1" applyAlignment="1">
      <alignment horizontal="right" vertical="center"/>
    </xf>
    <xf numFmtId="0" fontId="5" fillId="0" borderId="0" xfId="10" applyFont="1" applyFill="1" applyBorder="1" applyAlignment="1">
      <alignment horizontal="left" vertical="center"/>
    </xf>
    <xf numFmtId="0" fontId="23" fillId="6" borderId="13" xfId="10" applyFont="1" applyFill="1" applyBorder="1" applyAlignment="1">
      <alignment vertical="center"/>
    </xf>
    <xf numFmtId="0" fontId="23" fillId="6" borderId="10" xfId="10" applyFont="1" applyFill="1" applyBorder="1" applyAlignment="1">
      <alignment vertical="center"/>
    </xf>
    <xf numFmtId="0" fontId="6" fillId="6" borderId="11" xfId="10" applyFont="1" applyFill="1" applyBorder="1" applyAlignment="1">
      <alignment vertical="center"/>
    </xf>
    <xf numFmtId="0" fontId="14" fillId="6" borderId="8" xfId="10" applyFont="1" applyFill="1" applyBorder="1" applyAlignment="1">
      <alignment vertical="center"/>
    </xf>
    <xf numFmtId="165" fontId="26" fillId="6" borderId="9" xfId="10" applyNumberFormat="1" applyFont="1" applyFill="1" applyBorder="1" applyAlignment="1">
      <alignment horizontal="right" vertical="center"/>
    </xf>
    <xf numFmtId="165" fontId="26" fillId="6" borderId="11" xfId="10" applyNumberFormat="1" applyFont="1" applyFill="1" applyBorder="1" applyAlignment="1">
      <alignment horizontal="right" vertical="center"/>
    </xf>
    <xf numFmtId="3" fontId="6" fillId="8" borderId="114" xfId="10" applyNumberFormat="1" applyFont="1" applyFill="1" applyBorder="1" applyAlignment="1">
      <alignment horizontal="right" vertical="center"/>
    </xf>
    <xf numFmtId="165" fontId="26" fillId="6" borderId="15" xfId="10" applyNumberFormat="1" applyFont="1" applyFill="1" applyBorder="1" applyAlignment="1">
      <alignment horizontal="right" vertical="center"/>
    </xf>
    <xf numFmtId="3" fontId="6" fillId="7" borderId="115" xfId="10" applyNumberFormat="1" applyFont="1" applyFill="1" applyBorder="1" applyAlignment="1">
      <alignment horizontal="right" vertical="center"/>
    </xf>
    <xf numFmtId="10" fontId="0" fillId="0" borderId="0" xfId="1" applyNumberFormat="1" applyFont="1"/>
    <xf numFmtId="0" fontId="6" fillId="6" borderId="0" xfId="10" applyFont="1" applyFill="1" applyBorder="1" applyAlignment="1">
      <alignment horizontal="center"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0" fillId="0" borderId="0" xfId="0"/>
    <xf numFmtId="0" fontId="3" fillId="0" borderId="0" xfId="0" applyFont="1" applyBorder="1" applyAlignment="1">
      <alignment horizontal="left" vertical="center"/>
    </xf>
    <xf numFmtId="0" fontId="0" fillId="0" borderId="0" xfId="0" applyFont="1" applyBorder="1" applyAlignment="1">
      <alignment vertical="center"/>
    </xf>
    <xf numFmtId="0" fontId="0" fillId="0" borderId="0" xfId="0" applyFont="1" applyBorder="1" applyAlignment="1">
      <alignment horizontal="left" vertical="center"/>
    </xf>
    <xf numFmtId="0" fontId="36"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0" fillId="0" borderId="0" xfId="0" applyFont="1" applyBorder="1" applyAlignment="1">
      <alignment horizontal="right" vertical="center"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3" xfId="0" applyFont="1" applyBorder="1" applyAlignment="1">
      <alignment horizontal="center" vertical="center"/>
    </xf>
    <xf numFmtId="0" fontId="6" fillId="0" borderId="19" xfId="0" applyFont="1" applyBorder="1" applyAlignment="1">
      <alignment horizontal="left" vertical="center" indent="1"/>
    </xf>
    <xf numFmtId="0" fontId="6" fillId="0" borderId="20" xfId="0" applyFont="1" applyBorder="1" applyAlignment="1">
      <alignment horizontal="center" vertical="center"/>
    </xf>
    <xf numFmtId="0" fontId="6" fillId="6" borderId="19" xfId="0" applyFont="1" applyFill="1" applyBorder="1" applyAlignment="1">
      <alignment horizontal="left" vertical="center" indent="1"/>
    </xf>
    <xf numFmtId="0" fontId="6" fillId="0" borderId="22" xfId="0" applyFont="1" applyBorder="1" applyAlignment="1">
      <alignment horizontal="center" vertical="center"/>
    </xf>
    <xf numFmtId="0" fontId="7" fillId="0" borderId="0" xfId="8" applyFont="1" applyFill="1" applyBorder="1" applyAlignment="1">
      <alignment horizontal="center" vertical="center"/>
    </xf>
    <xf numFmtId="0" fontId="8" fillId="0" borderId="17" xfId="5" applyFont="1" applyBorder="1" applyAlignment="1">
      <alignment horizontal="left" vertical="center" wrapText="1" indent="1"/>
    </xf>
    <xf numFmtId="0" fontId="8" fillId="0" borderId="47" xfId="5" applyFont="1" applyBorder="1" applyAlignment="1">
      <alignment horizontal="left" vertical="center" wrapText="1" indent="1"/>
    </xf>
    <xf numFmtId="0" fontId="0" fillId="0" borderId="85"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43" xfId="0" applyBorder="1" applyAlignment="1">
      <alignment horizontal="center"/>
    </xf>
    <xf numFmtId="0" fontId="0" fillId="0" borderId="12" xfId="0" applyBorder="1"/>
    <xf numFmtId="3" fontId="0" fillId="0" borderId="44" xfId="0" applyNumberFormat="1" applyBorder="1" applyAlignment="1">
      <alignment horizontal="right" indent="1"/>
    </xf>
    <xf numFmtId="10" fontId="0" fillId="0" borderId="18" xfId="1" applyNumberFormat="1" applyFont="1" applyBorder="1" applyAlignment="1">
      <alignment horizontal="right" indent="1"/>
    </xf>
    <xf numFmtId="3" fontId="0" fillId="0" borderId="43" xfId="0" applyNumberFormat="1" applyBorder="1" applyAlignment="1">
      <alignment horizontal="right" indent="1"/>
    </xf>
    <xf numFmtId="10" fontId="0" fillId="0" borderId="12" xfId="1" applyNumberFormat="1" applyFont="1" applyBorder="1" applyAlignment="1">
      <alignment horizontal="right" indent="1"/>
    </xf>
    <xf numFmtId="10" fontId="0" fillId="0" borderId="44" xfId="1" applyNumberFormat="1" applyFont="1" applyBorder="1" applyAlignment="1">
      <alignment horizontal="right" indent="1"/>
    </xf>
    <xf numFmtId="3" fontId="0" fillId="0" borderId="12" xfId="0" applyNumberFormat="1" applyBorder="1" applyAlignment="1">
      <alignment horizontal="right" indent="1"/>
    </xf>
    <xf numFmtId="0" fontId="0" fillId="0" borderId="20" xfId="0" applyBorder="1" applyAlignment="1">
      <alignment horizontal="center"/>
    </xf>
    <xf numFmtId="0" fontId="0" fillId="0" borderId="19" xfId="0" applyBorder="1"/>
    <xf numFmtId="3" fontId="0" fillId="0" borderId="16" xfId="0" applyNumberFormat="1" applyBorder="1" applyAlignment="1">
      <alignment horizontal="right" indent="1"/>
    </xf>
    <xf numFmtId="10" fontId="0" fillId="0" borderId="21" xfId="1" applyNumberFormat="1" applyFont="1" applyBorder="1" applyAlignment="1">
      <alignment horizontal="right" indent="1"/>
    </xf>
    <xf numFmtId="10" fontId="0" fillId="0" borderId="16" xfId="1" applyNumberFormat="1" applyFont="1" applyBorder="1" applyAlignment="1">
      <alignment horizontal="right" indent="1"/>
    </xf>
    <xf numFmtId="0" fontId="0" fillId="0" borderId="33" xfId="0" applyBorder="1" applyAlignment="1">
      <alignment horizontal="center"/>
    </xf>
    <xf numFmtId="0" fontId="0" fillId="0" borderId="37" xfId="0" applyBorder="1"/>
    <xf numFmtId="3" fontId="0" fillId="0" borderId="36" xfId="0" applyNumberFormat="1" applyBorder="1" applyAlignment="1">
      <alignment horizontal="right" indent="1"/>
    </xf>
    <xf numFmtId="10" fontId="0" fillId="0" borderId="35" xfId="1" applyNumberFormat="1" applyFont="1" applyBorder="1" applyAlignment="1">
      <alignment horizontal="right" indent="1"/>
    </xf>
    <xf numFmtId="3" fontId="0" fillId="0" borderId="33" xfId="0" applyNumberFormat="1" applyBorder="1" applyAlignment="1">
      <alignment horizontal="right" indent="1"/>
    </xf>
    <xf numFmtId="10" fontId="0" fillId="0" borderId="37" xfId="1" applyNumberFormat="1" applyFont="1" applyBorder="1" applyAlignment="1">
      <alignment horizontal="right" indent="1"/>
    </xf>
    <xf numFmtId="10" fontId="0" fillId="0" borderId="36" xfId="1" applyNumberFormat="1" applyFont="1" applyBorder="1" applyAlignment="1">
      <alignment horizontal="right" indent="1"/>
    </xf>
    <xf numFmtId="3" fontId="0" fillId="0" borderId="37" xfId="0" applyNumberFormat="1" applyBorder="1" applyAlignment="1">
      <alignment horizontal="right" indent="1"/>
    </xf>
    <xf numFmtId="3" fontId="12" fillId="0" borderId="41" xfId="0" applyNumberFormat="1" applyFont="1" applyBorder="1" applyAlignment="1">
      <alignment horizontal="right" indent="1"/>
    </xf>
    <xf numFmtId="10" fontId="12" fillId="0" borderId="2" xfId="1" applyNumberFormat="1" applyFont="1" applyBorder="1" applyAlignment="1">
      <alignment horizontal="right" indent="1"/>
    </xf>
    <xf numFmtId="3" fontId="12" fillId="0" borderId="1" xfId="0" applyNumberFormat="1" applyFont="1" applyBorder="1" applyAlignment="1">
      <alignment horizontal="right" indent="1"/>
    </xf>
    <xf numFmtId="10" fontId="12" fillId="0" borderId="4" xfId="1" applyNumberFormat="1" applyFont="1" applyBorder="1" applyAlignment="1">
      <alignment horizontal="right" indent="1"/>
    </xf>
    <xf numFmtId="3" fontId="12" fillId="0" borderId="4" xfId="0" applyNumberFormat="1" applyFont="1" applyBorder="1" applyAlignment="1">
      <alignment horizontal="right" indent="1"/>
    </xf>
    <xf numFmtId="170" fontId="0" fillId="0" borderId="0" xfId="0" applyNumberFormat="1"/>
    <xf numFmtId="0" fontId="0" fillId="0" borderId="17" xfId="0" applyBorder="1"/>
    <xf numFmtId="0" fontId="0" fillId="0" borderId="14" xfId="0" applyBorder="1"/>
    <xf numFmtId="0" fontId="0" fillId="0" borderId="22" xfId="0" applyBorder="1" applyAlignment="1">
      <alignment horizontal="center"/>
    </xf>
    <xf numFmtId="0" fontId="0" fillId="0" borderId="23" xfId="0" applyBorder="1"/>
    <xf numFmtId="0" fontId="15" fillId="6" borderId="0" xfId="10" applyFont="1" applyFill="1" applyBorder="1" applyAlignment="1">
      <alignment horizontal="center" vertical="center" wrapText="1"/>
    </xf>
    <xf numFmtId="10" fontId="6" fillId="6" borderId="0" xfId="10" applyNumberFormat="1" applyFont="1" applyFill="1" applyBorder="1" applyAlignment="1">
      <alignment horizontal="center" vertical="center"/>
    </xf>
    <xf numFmtId="3" fontId="5" fillId="0" borderId="0" xfId="10" applyNumberFormat="1" applyFont="1" applyFill="1" applyBorder="1" applyAlignment="1">
      <alignment horizontal="center" vertical="center"/>
    </xf>
    <xf numFmtId="0" fontId="14" fillId="7" borderId="4" xfId="10" applyFont="1" applyFill="1" applyBorder="1" applyAlignment="1">
      <alignment horizontal="center" vertical="top"/>
    </xf>
    <xf numFmtId="3" fontId="5" fillId="7" borderId="15" xfId="10" applyNumberFormat="1" applyFont="1" applyFill="1" applyBorder="1" applyAlignment="1">
      <alignment horizontal="center" vertical="center"/>
    </xf>
    <xf numFmtId="3" fontId="5" fillId="7" borderId="12" xfId="10" applyNumberFormat="1" applyFont="1" applyFill="1" applyBorder="1" applyAlignment="1">
      <alignment horizontal="center" vertical="center"/>
    </xf>
    <xf numFmtId="3" fontId="5" fillId="7" borderId="26" xfId="10" applyNumberFormat="1" applyFont="1" applyFill="1" applyBorder="1" applyAlignment="1">
      <alignment horizontal="center" vertical="center"/>
    </xf>
    <xf numFmtId="0" fontId="0" fillId="0" borderId="0" xfId="0"/>
    <xf numFmtId="0" fontId="8" fillId="0" borderId="0" xfId="8" applyFont="1" applyAlignment="1">
      <alignment horizontal="right"/>
    </xf>
    <xf numFmtId="3" fontId="0" fillId="0" borderId="0" xfId="0" applyNumberFormat="1" applyFont="1"/>
    <xf numFmtId="0" fontId="0" fillId="0" borderId="0" xfId="0" applyFont="1"/>
    <xf numFmtId="3" fontId="6" fillId="0" borderId="0" xfId="10" applyNumberFormat="1" applyFont="1" applyFill="1" applyAlignment="1">
      <alignment vertical="center"/>
    </xf>
    <xf numFmtId="0" fontId="0" fillId="0" borderId="0" xfId="0"/>
    <xf numFmtId="0" fontId="3" fillId="0" borderId="0" xfId="2" applyFont="1"/>
    <xf numFmtId="0" fontId="57" fillId="0" borderId="0" xfId="2" applyFont="1"/>
    <xf numFmtId="0" fontId="58" fillId="0" borderId="0" xfId="0" applyFont="1"/>
    <xf numFmtId="0" fontId="54" fillId="0" borderId="0" xfId="0" applyFont="1"/>
    <xf numFmtId="0" fontId="8" fillId="0" borderId="0" xfId="0" applyFont="1" applyAlignment="1">
      <alignment horizontal="center"/>
    </xf>
    <xf numFmtId="0" fontId="6" fillId="0" borderId="0" xfId="9" quotePrefix="1" applyFont="1"/>
    <xf numFmtId="0" fontId="8" fillId="0" borderId="0" xfId="0" applyFont="1" applyAlignment="1">
      <alignment horizontal="center" vertical="top"/>
    </xf>
    <xf numFmtId="0" fontId="6" fillId="0" borderId="0" xfId="0" quotePrefix="1" applyFont="1"/>
    <xf numFmtId="0" fontId="6" fillId="0" borderId="0" xfId="9" quotePrefix="1" applyFont="1" applyAlignment="1"/>
    <xf numFmtId="0" fontId="6" fillId="0" borderId="0" xfId="9" applyFont="1" applyAlignment="1"/>
    <xf numFmtId="0" fontId="0" fillId="0" borderId="0" xfId="0"/>
    <xf numFmtId="3" fontId="8" fillId="0" borderId="11" xfId="8" applyNumberFormat="1" applyFont="1" applyBorder="1" applyAlignment="1">
      <alignment horizontal="right" vertical="center" indent="1"/>
    </xf>
    <xf numFmtId="0" fontId="6" fillId="0" borderId="0" xfId="12" applyFont="1" applyFill="1" applyBorder="1" applyAlignment="1">
      <alignment vertical="center"/>
    </xf>
    <xf numFmtId="0" fontId="7" fillId="0" borderId="45" xfId="8" applyFont="1" applyBorder="1" applyAlignment="1">
      <alignment horizontal="center" vertical="center"/>
    </xf>
    <xf numFmtId="0" fontId="0" fillId="0" borderId="0" xfId="0" applyAlignment="1"/>
    <xf numFmtId="0" fontId="7" fillId="0" borderId="1" xfId="8" applyFont="1" applyBorder="1" applyAlignment="1">
      <alignment horizontal="center" vertical="center"/>
    </xf>
    <xf numFmtId="0" fontId="7" fillId="0" borderId="41" xfId="8" applyFont="1" applyBorder="1" applyAlignment="1">
      <alignment horizontal="center" vertical="center"/>
    </xf>
    <xf numFmtId="0" fontId="8" fillId="0" borderId="17" xfId="5" applyFont="1" applyBorder="1" applyAlignment="1">
      <alignment horizontal="left" vertical="center"/>
    </xf>
    <xf numFmtId="0" fontId="8" fillId="0" borderId="47" xfId="5" applyFont="1" applyBorder="1" applyAlignment="1">
      <alignment horizontal="left" vertical="center"/>
    </xf>
    <xf numFmtId="0" fontId="8" fillId="0" borderId="14" xfId="5" applyFont="1" applyBorder="1" applyAlignment="1">
      <alignment horizontal="left" vertical="center"/>
    </xf>
    <xf numFmtId="0" fontId="8" fillId="0" borderId="40" xfId="5" applyFont="1" applyBorder="1" applyAlignment="1">
      <alignment horizontal="left" vertical="center"/>
    </xf>
    <xf numFmtId="6" fontId="0" fillId="0" borderId="0" xfId="0" applyNumberFormat="1" applyAlignment="1"/>
    <xf numFmtId="0" fontId="0" fillId="0" borderId="36" xfId="0" applyBorder="1" applyAlignment="1">
      <alignment horizontal="center" vertical="center" wrapText="1"/>
    </xf>
    <xf numFmtId="0" fontId="0" fillId="0" borderId="10" xfId="0" applyBorder="1"/>
    <xf numFmtId="0" fontId="0" fillId="0" borderId="15" xfId="0" applyBorder="1"/>
    <xf numFmtId="3" fontId="0" fillId="0" borderId="9" xfId="0" applyNumberFormat="1" applyBorder="1" applyAlignment="1">
      <alignment horizontal="right" indent="1"/>
    </xf>
    <xf numFmtId="10" fontId="0" fillId="0" borderId="11" xfId="1" applyNumberFormat="1" applyFont="1" applyBorder="1" applyAlignment="1">
      <alignment horizontal="right" indent="1"/>
    </xf>
    <xf numFmtId="3" fontId="0" fillId="0" borderId="13" xfId="0" applyNumberFormat="1" applyBorder="1" applyAlignment="1">
      <alignment horizontal="right" indent="1"/>
    </xf>
    <xf numFmtId="10" fontId="0" fillId="0" borderId="9" xfId="1" applyNumberFormat="1" applyFont="1" applyBorder="1" applyAlignment="1">
      <alignment horizontal="right" indent="1"/>
    </xf>
    <xf numFmtId="3" fontId="0" fillId="0" borderId="15" xfId="0" applyNumberFormat="1" applyBorder="1" applyAlignment="1">
      <alignment horizontal="right" indent="1"/>
    </xf>
    <xf numFmtId="0" fontId="0" fillId="0" borderId="14" xfId="0" applyBorder="1" applyAlignment="1">
      <alignment horizontal="center"/>
    </xf>
    <xf numFmtId="0" fontId="0" fillId="0" borderId="23" xfId="0" applyBorder="1" applyAlignment="1">
      <alignment horizontal="center"/>
    </xf>
    <xf numFmtId="0" fontId="0" fillId="0" borderId="26" xfId="0" applyBorder="1"/>
    <xf numFmtId="3" fontId="0" fillId="0" borderId="85" xfId="0" applyNumberFormat="1" applyBorder="1" applyAlignment="1">
      <alignment horizontal="right" indent="1"/>
    </xf>
    <xf numFmtId="10" fontId="0" fillId="0" borderId="24" xfId="1" applyNumberFormat="1" applyFont="1" applyBorder="1" applyAlignment="1">
      <alignment horizontal="right" indent="1"/>
    </xf>
    <xf numFmtId="3" fontId="0" fillId="0" borderId="22" xfId="0" applyNumberFormat="1" applyBorder="1" applyAlignment="1">
      <alignment horizontal="right" indent="1"/>
    </xf>
    <xf numFmtId="10" fontId="0" fillId="0" borderId="26" xfId="1" applyNumberFormat="1" applyFont="1" applyBorder="1" applyAlignment="1">
      <alignment horizontal="right" indent="1"/>
    </xf>
    <xf numFmtId="10" fontId="0" fillId="0" borderId="85" xfId="1" applyNumberFormat="1" applyFont="1" applyBorder="1" applyAlignment="1">
      <alignment horizontal="right" indent="1"/>
    </xf>
    <xf numFmtId="3" fontId="0" fillId="0" borderId="26" xfId="0" applyNumberFormat="1" applyBorder="1" applyAlignment="1">
      <alignment horizontal="right" indent="1"/>
    </xf>
    <xf numFmtId="3" fontId="12" fillId="0" borderId="29" xfId="0" applyNumberFormat="1" applyFont="1" applyBorder="1" applyAlignment="1">
      <alignment horizontal="right" indent="1"/>
    </xf>
    <xf numFmtId="10" fontId="12" fillId="0" borderId="30" xfId="1" applyNumberFormat="1" applyFont="1" applyBorder="1" applyAlignment="1">
      <alignment horizontal="right" indent="1"/>
    </xf>
    <xf numFmtId="3" fontId="12" fillId="0" borderId="38" xfId="0" applyNumberFormat="1" applyFont="1" applyBorder="1" applyAlignment="1">
      <alignment horizontal="right" indent="1"/>
    </xf>
    <xf numFmtId="10" fontId="12" fillId="0" borderId="31" xfId="1" applyNumberFormat="1" applyFont="1" applyBorder="1" applyAlignment="1">
      <alignment horizontal="right" indent="1"/>
    </xf>
    <xf numFmtId="3" fontId="12" fillId="0" borderId="31" xfId="0" applyNumberFormat="1" applyFont="1" applyBorder="1" applyAlignment="1">
      <alignment horizontal="right" indent="1"/>
    </xf>
    <xf numFmtId="0" fontId="46" fillId="0" borderId="0" xfId="0" applyFont="1"/>
    <xf numFmtId="170" fontId="0" fillId="0" borderId="0" xfId="0" applyNumberFormat="1" applyFont="1" applyAlignment="1">
      <alignment horizontal="center"/>
    </xf>
    <xf numFmtId="0" fontId="12" fillId="14" borderId="1" xfId="0" applyFont="1" applyFill="1" applyBorder="1" applyAlignment="1">
      <alignment horizontal="center"/>
    </xf>
    <xf numFmtId="0" fontId="0" fillId="0" borderId="43" xfId="0" applyBorder="1" applyAlignment="1">
      <alignment horizontal="center"/>
    </xf>
    <xf numFmtId="0" fontId="0" fillId="0" borderId="14" xfId="0" applyFill="1" applyBorder="1" applyAlignment="1">
      <alignment horizontal="center" vertical="center" wrapText="1"/>
    </xf>
    <xf numFmtId="0" fontId="0" fillId="0" borderId="14" xfId="0" applyFill="1" applyBorder="1" applyAlignment="1">
      <alignment horizontal="center"/>
    </xf>
    <xf numFmtId="9" fontId="0" fillId="0" borderId="14" xfId="0" applyNumberFormat="1" applyFill="1" applyBorder="1" applyAlignment="1">
      <alignment horizontal="center"/>
    </xf>
    <xf numFmtId="0" fontId="0" fillId="0" borderId="0" xfId="0" applyFill="1" applyBorder="1" applyAlignment="1">
      <alignment horizontal="right"/>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0" fillId="0" borderId="17" xfId="0" applyFont="1" applyFill="1" applyBorder="1" applyAlignment="1">
      <alignment horizontal="center"/>
    </xf>
    <xf numFmtId="0" fontId="0" fillId="0" borderId="14" xfId="0" applyFont="1" applyFill="1" applyBorder="1" applyAlignment="1">
      <alignment horizontal="center"/>
    </xf>
    <xf numFmtId="0" fontId="0" fillId="0" borderId="34" xfId="0" applyFont="1" applyFill="1" applyBorder="1" applyAlignment="1">
      <alignment horizontal="center"/>
    </xf>
    <xf numFmtId="0" fontId="0" fillId="0" borderId="23" xfId="0" applyFont="1" applyFill="1" applyBorder="1" applyAlignment="1">
      <alignment horizontal="center"/>
    </xf>
    <xf numFmtId="0" fontId="0" fillId="0" borderId="0" xfId="0"/>
    <xf numFmtId="0" fontId="7" fillId="0" borderId="85" xfId="8" applyFont="1" applyFill="1" applyBorder="1" applyAlignment="1">
      <alignment horizontal="center" vertical="center" wrapText="1"/>
    </xf>
    <xf numFmtId="0" fontId="7" fillId="0" borderId="24" xfId="8" applyFont="1" applyFill="1" applyBorder="1" applyAlignment="1">
      <alignment horizontal="center" vertical="center" wrapText="1"/>
    </xf>
    <xf numFmtId="49" fontId="48" fillId="0" borderId="43" xfId="8" applyNumberFormat="1" applyFont="1" applyFill="1" applyBorder="1" applyAlignment="1">
      <alignment horizontal="center" vertical="center"/>
    </xf>
    <xf numFmtId="0" fontId="48" fillId="0" borderId="12" xfId="8" applyFont="1" applyFill="1" applyBorder="1" applyAlignment="1">
      <alignment horizontal="left" vertical="center" indent="1"/>
    </xf>
    <xf numFmtId="49" fontId="48" fillId="0" borderId="20" xfId="8" applyNumberFormat="1" applyFont="1" applyFill="1" applyBorder="1" applyAlignment="1">
      <alignment horizontal="center" vertical="center"/>
    </xf>
    <xf numFmtId="0" fontId="48" fillId="0" borderId="19" xfId="8" applyFont="1" applyFill="1" applyBorder="1" applyAlignment="1">
      <alignment horizontal="left" vertical="center" indent="1"/>
    </xf>
    <xf numFmtId="49" fontId="48" fillId="0" borderId="33" xfId="8" applyNumberFormat="1" applyFont="1" applyFill="1" applyBorder="1" applyAlignment="1">
      <alignment horizontal="center" vertical="center"/>
    </xf>
    <xf numFmtId="0" fontId="48" fillId="0" borderId="37" xfId="8" applyFont="1" applyFill="1" applyBorder="1" applyAlignment="1">
      <alignment horizontal="left" vertical="center" indent="1"/>
    </xf>
    <xf numFmtId="0" fontId="7" fillId="0" borderId="1" xfId="8" applyFont="1" applyFill="1" applyBorder="1" applyAlignment="1">
      <alignment horizontal="center" vertical="center"/>
    </xf>
    <xf numFmtId="0" fontId="51" fillId="0" borderId="4" xfId="8" applyFont="1" applyFill="1" applyBorder="1" applyAlignment="1">
      <alignment horizontal="left" vertical="center" indent="1"/>
    </xf>
    <xf numFmtId="3" fontId="5" fillId="0" borderId="1" xfId="8" applyNumberFormat="1" applyFont="1" applyFill="1" applyBorder="1" applyAlignment="1">
      <alignment horizontal="right" vertical="center" indent="1"/>
    </xf>
    <xf numFmtId="0" fontId="6" fillId="6" borderId="11" xfId="0" applyFont="1" applyFill="1" applyBorder="1" applyAlignment="1">
      <alignment horizontal="right" indent="1"/>
    </xf>
    <xf numFmtId="0" fontId="6" fillId="6" borderId="21" xfId="0" applyFont="1" applyFill="1" applyBorder="1" applyAlignment="1">
      <alignment horizontal="right" indent="1"/>
    </xf>
    <xf numFmtId="0" fontId="8" fillId="6" borderId="54" xfId="0" applyFont="1" applyFill="1" applyBorder="1" applyAlignment="1">
      <alignment horizontal="right" indent="1"/>
    </xf>
    <xf numFmtId="1" fontId="8" fillId="0" borderId="14" xfId="0" applyNumberFormat="1" applyFont="1" applyFill="1" applyBorder="1" applyAlignment="1">
      <alignment horizontal="right" indent="1"/>
    </xf>
    <xf numFmtId="0" fontId="6" fillId="6" borderId="54" xfId="0" applyFont="1" applyFill="1" applyBorder="1" applyAlignment="1">
      <alignment horizontal="right" indent="1"/>
    </xf>
    <xf numFmtId="0" fontId="8" fillId="6" borderId="16" xfId="0" applyFont="1" applyFill="1" applyBorder="1" applyAlignment="1">
      <alignment horizontal="right" wrapText="1" indent="1"/>
    </xf>
    <xf numFmtId="0" fontId="6" fillId="6" borderId="54" xfId="0" applyFont="1" applyFill="1" applyBorder="1" applyAlignment="1">
      <alignment horizontal="right" wrapText="1" indent="1"/>
    </xf>
    <xf numFmtId="0" fontId="8" fillId="6" borderId="81" xfId="0" applyFont="1" applyFill="1" applyBorder="1" applyAlignment="1">
      <alignment horizontal="right" indent="1"/>
    </xf>
    <xf numFmtId="0" fontId="8" fillId="6" borderId="16" xfId="0" applyFont="1" applyFill="1" applyBorder="1" applyAlignment="1">
      <alignment horizontal="right" indent="1"/>
    </xf>
    <xf numFmtId="0" fontId="6" fillId="6" borderId="16" xfId="0" applyFont="1" applyFill="1" applyBorder="1" applyAlignment="1">
      <alignment horizontal="right" indent="1"/>
    </xf>
    <xf numFmtId="1" fontId="8" fillId="6" borderId="14" xfId="0" applyNumberFormat="1" applyFont="1" applyFill="1" applyBorder="1" applyAlignment="1">
      <alignment horizontal="right" indent="1"/>
    </xf>
    <xf numFmtId="0" fontId="8" fillId="0" borderId="81" xfId="0" applyFont="1" applyFill="1" applyBorder="1" applyAlignment="1">
      <alignment horizontal="right" indent="1"/>
    </xf>
    <xf numFmtId="0" fontId="6" fillId="0" borderId="16" xfId="0" applyFont="1" applyFill="1" applyBorder="1" applyAlignment="1">
      <alignment horizontal="right" indent="1"/>
    </xf>
    <xf numFmtId="3" fontId="5" fillId="0" borderId="77" xfId="8" applyNumberFormat="1" applyFont="1" applyFill="1" applyBorder="1" applyAlignment="1">
      <alignment horizontal="right" vertical="center" indent="1"/>
    </xf>
    <xf numFmtId="3" fontId="6" fillId="0" borderId="113" xfId="8" applyNumberFormat="1" applyFont="1" applyBorder="1" applyAlignment="1">
      <alignment horizontal="right" vertical="center" indent="1"/>
    </xf>
    <xf numFmtId="3" fontId="6" fillId="0" borderId="113" xfId="8" applyNumberFormat="1" applyFont="1" applyFill="1" applyBorder="1" applyAlignment="1">
      <alignment horizontal="right" vertical="center" indent="1"/>
    </xf>
    <xf numFmtId="3" fontId="5" fillId="0" borderId="46" xfId="8" applyNumberFormat="1" applyFont="1" applyFill="1" applyBorder="1" applyAlignment="1">
      <alignment horizontal="right" vertical="center" indent="1"/>
    </xf>
    <xf numFmtId="0" fontId="0" fillId="0" borderId="0" xfId="0" applyFill="1"/>
    <xf numFmtId="0" fontId="60" fillId="0" borderId="0" xfId="8" applyFont="1" applyFill="1" applyAlignment="1">
      <alignment horizontal="right" vertical="center"/>
    </xf>
    <xf numFmtId="10" fontId="53" fillId="0" borderId="0" xfId="0" applyNumberFormat="1" applyFont="1" applyFill="1" applyAlignment="1">
      <alignment horizontal="left" vertical="center"/>
    </xf>
    <xf numFmtId="171" fontId="0" fillId="0" borderId="0" xfId="0" applyNumberFormat="1"/>
    <xf numFmtId="0" fontId="0" fillId="0" borderId="17" xfId="0" applyBorder="1" applyAlignment="1">
      <alignment horizontal="center"/>
    </xf>
    <xf numFmtId="0" fontId="0" fillId="0" borderId="43"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8" fillId="0" borderId="0" xfId="8" applyFont="1" applyAlignment="1">
      <alignment horizontal="left"/>
    </xf>
    <xf numFmtId="4" fontId="0" fillId="0" borderId="0" xfId="0" applyNumberFormat="1"/>
    <xf numFmtId="172" fontId="0" fillId="0" borderId="0" xfId="0" applyNumberFormat="1"/>
    <xf numFmtId="173" fontId="0" fillId="0" borderId="0" xfId="0" applyNumberFormat="1"/>
    <xf numFmtId="174" fontId="0" fillId="0" borderId="0" xfId="0" applyNumberFormat="1"/>
    <xf numFmtId="0" fontId="61" fillId="0" borderId="0" xfId="3" applyFont="1" applyFill="1" applyAlignment="1">
      <alignment horizontal="right" vertical="center"/>
    </xf>
    <xf numFmtId="0" fontId="11" fillId="0" borderId="0" xfId="9" applyFill="1" applyAlignment="1">
      <alignment horizontal="left" vertical="center"/>
    </xf>
    <xf numFmtId="0" fontId="62" fillId="0" borderId="0" xfId="9" quotePrefix="1" applyFont="1" applyFill="1"/>
    <xf numFmtId="0" fontId="62" fillId="0" borderId="0" xfId="9" applyFont="1" applyFill="1"/>
    <xf numFmtId="3" fontId="33" fillId="9" borderId="94" xfId="10" applyNumberFormat="1" applyFont="1" applyFill="1" applyBorder="1" applyAlignment="1">
      <alignment horizontal="right" vertical="center"/>
    </xf>
    <xf numFmtId="9" fontId="12" fillId="11" borderId="77" xfId="0" applyNumberFormat="1" applyFont="1" applyFill="1" applyBorder="1" applyAlignment="1">
      <alignment horizontal="right" indent="1"/>
    </xf>
    <xf numFmtId="9" fontId="12" fillId="11" borderId="45" xfId="0" applyNumberFormat="1" applyFont="1" applyFill="1" applyBorder="1" applyAlignment="1">
      <alignment horizontal="right" indent="1"/>
    </xf>
    <xf numFmtId="9" fontId="12" fillId="11" borderId="42" xfId="0" applyNumberFormat="1" applyFont="1" applyFill="1" applyBorder="1" applyAlignment="1">
      <alignment horizontal="right" indent="1"/>
    </xf>
    <xf numFmtId="10" fontId="12" fillId="11" borderId="42" xfId="0" applyNumberFormat="1" applyFont="1" applyFill="1" applyBorder="1" applyAlignment="1">
      <alignment horizontal="right" indent="1"/>
    </xf>
    <xf numFmtId="10" fontId="12" fillId="11" borderId="45" xfId="0" applyNumberFormat="1" applyFont="1" applyFill="1" applyBorder="1" applyAlignment="1">
      <alignment horizontal="right" indent="1"/>
    </xf>
    <xf numFmtId="9" fontId="12" fillId="11" borderId="8" xfId="0" applyNumberFormat="1" applyFont="1" applyFill="1" applyBorder="1" applyAlignment="1">
      <alignment horizontal="right" vertical="center" wrapText="1" indent="1"/>
    </xf>
    <xf numFmtId="164" fontId="12" fillId="11" borderId="106" xfId="1" applyNumberFormat="1" applyFont="1" applyFill="1" applyBorder="1" applyAlignment="1">
      <alignment horizontal="right" vertical="center" wrapText="1" indent="1"/>
    </xf>
    <xf numFmtId="0" fontId="0" fillId="12" borderId="56" xfId="0" applyFill="1" applyBorder="1" applyAlignment="1">
      <alignment horizontal="right" indent="1"/>
    </xf>
    <xf numFmtId="0" fontId="0" fillId="12" borderId="0" xfId="0" applyFill="1" applyBorder="1" applyAlignment="1">
      <alignment horizontal="right" indent="1"/>
    </xf>
    <xf numFmtId="0" fontId="0" fillId="12" borderId="57" xfId="0" applyFill="1" applyBorder="1" applyAlignment="1">
      <alignment horizontal="right" indent="1"/>
    </xf>
    <xf numFmtId="10" fontId="0" fillId="12" borderId="105" xfId="1" applyNumberFormat="1" applyFont="1" applyFill="1" applyBorder="1" applyAlignment="1">
      <alignment horizontal="right" indent="1"/>
    </xf>
    <xf numFmtId="10" fontId="0" fillId="12" borderId="57" xfId="1" applyNumberFormat="1" applyFont="1" applyFill="1" applyBorder="1" applyAlignment="1">
      <alignment horizontal="right" indent="1"/>
    </xf>
    <xf numFmtId="164" fontId="0" fillId="12" borderId="56" xfId="1" applyNumberFormat="1" applyFont="1" applyFill="1" applyBorder="1" applyAlignment="1">
      <alignment horizontal="right" indent="1"/>
    </xf>
    <xf numFmtId="164" fontId="0" fillId="12" borderId="49" xfId="1" applyNumberFormat="1" applyFont="1" applyFill="1" applyBorder="1" applyAlignment="1">
      <alignment horizontal="right" indent="1"/>
    </xf>
    <xf numFmtId="10" fontId="0" fillId="12" borderId="78" xfId="1" applyNumberFormat="1" applyFont="1" applyFill="1" applyBorder="1" applyAlignment="1">
      <alignment horizontal="right" indent="1"/>
    </xf>
    <xf numFmtId="0" fontId="0" fillId="12" borderId="64" xfId="0" applyFill="1" applyBorder="1" applyAlignment="1">
      <alignment horizontal="right" indent="1"/>
    </xf>
    <xf numFmtId="10" fontId="0" fillId="12" borderId="0" xfId="1" applyNumberFormat="1" applyFont="1" applyFill="1" applyBorder="1" applyAlignment="1">
      <alignment horizontal="right" indent="1"/>
    </xf>
    <xf numFmtId="164" fontId="0" fillId="12" borderId="0" xfId="1" applyNumberFormat="1" applyFont="1" applyFill="1" applyBorder="1" applyAlignment="1">
      <alignment horizontal="right" indent="1"/>
    </xf>
    <xf numFmtId="164" fontId="0" fillId="12" borderId="50" xfId="1" applyNumberFormat="1" applyFont="1" applyFill="1" applyBorder="1" applyAlignment="1">
      <alignment horizontal="right" indent="1"/>
    </xf>
    <xf numFmtId="0" fontId="0" fillId="12" borderId="71" xfId="0" applyFill="1" applyBorder="1" applyAlignment="1">
      <alignment horizontal="right" indent="1"/>
    </xf>
    <xf numFmtId="0" fontId="0" fillId="12" borderId="72" xfId="0" applyFill="1" applyBorder="1" applyAlignment="1">
      <alignment horizontal="right" indent="1"/>
    </xf>
    <xf numFmtId="10" fontId="0" fillId="12" borderId="109" xfId="1" applyNumberFormat="1" applyFont="1" applyFill="1" applyBorder="1" applyAlignment="1">
      <alignment horizontal="right" indent="1"/>
    </xf>
    <xf numFmtId="0" fontId="12" fillId="12" borderId="77" xfId="0" applyFont="1" applyFill="1" applyBorder="1" applyAlignment="1">
      <alignment horizontal="right" indent="1"/>
    </xf>
    <xf numFmtId="10" fontId="12" fillId="12" borderId="77" xfId="1" applyNumberFormat="1" applyFont="1" applyFill="1" applyBorder="1" applyAlignment="1">
      <alignment horizontal="right" indent="1"/>
    </xf>
    <xf numFmtId="0" fontId="12" fillId="12" borderId="42" xfId="0" applyFont="1" applyFill="1" applyBorder="1" applyAlignment="1">
      <alignment horizontal="right" indent="1"/>
    </xf>
    <xf numFmtId="10" fontId="12" fillId="12" borderId="45" xfId="1" applyNumberFormat="1" applyFont="1" applyFill="1" applyBorder="1" applyAlignment="1">
      <alignment horizontal="right" indent="1"/>
    </xf>
    <xf numFmtId="164" fontId="12" fillId="12" borderId="77" xfId="1" applyNumberFormat="1" applyFont="1" applyFill="1" applyBorder="1" applyAlignment="1">
      <alignment horizontal="right" indent="1"/>
    </xf>
    <xf numFmtId="164" fontId="12" fillId="12" borderId="46" xfId="1" applyNumberFormat="1" applyFont="1" applyFill="1" applyBorder="1" applyAlignment="1">
      <alignment horizontal="right" indent="1"/>
    </xf>
    <xf numFmtId="0" fontId="0" fillId="0" borderId="0" xfId="0" applyAlignment="1">
      <alignment horizontal="right" indent="1"/>
    </xf>
    <xf numFmtId="3" fontId="0" fillId="12" borderId="57" xfId="0" applyNumberFormat="1" applyFill="1" applyBorder="1" applyAlignment="1">
      <alignment horizontal="right" indent="1"/>
    </xf>
    <xf numFmtId="3" fontId="0" fillId="12" borderId="56" xfId="0" applyNumberFormat="1" applyFill="1" applyBorder="1" applyAlignment="1">
      <alignment horizontal="right" indent="1"/>
    </xf>
    <xf numFmtId="3" fontId="0" fillId="12" borderId="0" xfId="0" applyNumberFormat="1" applyFill="1" applyBorder="1" applyAlignment="1">
      <alignment horizontal="right" indent="1"/>
    </xf>
    <xf numFmtId="3" fontId="0" fillId="12" borderId="64" xfId="0" applyNumberFormat="1" applyFill="1" applyBorder="1" applyAlignment="1">
      <alignment horizontal="right" indent="1"/>
    </xf>
    <xf numFmtId="3" fontId="0" fillId="12" borderId="72" xfId="0" applyNumberFormat="1" applyFill="1" applyBorder="1" applyAlignment="1">
      <alignment horizontal="right" indent="1"/>
    </xf>
    <xf numFmtId="3" fontId="12" fillId="12" borderId="77" xfId="0" applyNumberFormat="1" applyFont="1" applyFill="1" applyBorder="1" applyAlignment="1">
      <alignment horizontal="right" indent="1"/>
    </xf>
    <xf numFmtId="3" fontId="12" fillId="12" borderId="42" xfId="0" applyNumberFormat="1" applyFont="1" applyFill="1" applyBorder="1" applyAlignment="1">
      <alignment horizontal="right" indent="1"/>
    </xf>
    <xf numFmtId="3" fontId="0" fillId="0" borderId="0" xfId="0" applyNumberFormat="1" applyFill="1" applyBorder="1" applyAlignment="1">
      <alignment horizontal="right" indent="1"/>
    </xf>
    <xf numFmtId="10" fontId="0" fillId="0" borderId="0" xfId="1" applyNumberFormat="1" applyFont="1" applyFill="1" applyBorder="1" applyAlignment="1">
      <alignment horizontal="right" indent="1"/>
    </xf>
    <xf numFmtId="3" fontId="0" fillId="12" borderId="71" xfId="0" applyNumberFormat="1" applyFill="1" applyBorder="1" applyAlignment="1">
      <alignment horizontal="right" indent="1"/>
    </xf>
    <xf numFmtId="3" fontId="12" fillId="0" borderId="0" xfId="0" applyNumberFormat="1" applyFont="1" applyFill="1" applyBorder="1" applyAlignment="1">
      <alignment horizontal="right" indent="1"/>
    </xf>
    <xf numFmtId="10" fontId="12" fillId="0" borderId="0" xfId="1" applyNumberFormat="1" applyFont="1" applyFill="1" applyBorder="1" applyAlignment="1">
      <alignment horizontal="right" indent="1"/>
    </xf>
    <xf numFmtId="0" fontId="0" fillId="0" borderId="0" xfId="0" applyBorder="1" applyAlignment="1">
      <alignment horizontal="right" indent="1"/>
    </xf>
    <xf numFmtId="0" fontId="0" fillId="0" borderId="0" xfId="0" applyFill="1" applyBorder="1" applyAlignment="1">
      <alignment horizontal="right" indent="1"/>
    </xf>
    <xf numFmtId="3" fontId="0" fillId="13" borderId="56" xfId="0" applyNumberFormat="1" applyFill="1" applyBorder="1" applyAlignment="1">
      <alignment horizontal="right" indent="1"/>
    </xf>
    <xf numFmtId="10" fontId="0" fillId="13" borderId="105" xfId="1" applyNumberFormat="1" applyFont="1" applyFill="1" applyBorder="1" applyAlignment="1">
      <alignment horizontal="right" indent="1"/>
    </xf>
    <xf numFmtId="10" fontId="0" fillId="13" borderId="57" xfId="1" applyNumberFormat="1" applyFont="1" applyFill="1" applyBorder="1" applyAlignment="1">
      <alignment horizontal="right" indent="1"/>
    </xf>
    <xf numFmtId="164" fontId="0" fillId="13" borderId="49" xfId="1" applyNumberFormat="1" applyFont="1" applyFill="1" applyBorder="1" applyAlignment="1">
      <alignment horizontal="right" indent="1"/>
    </xf>
    <xf numFmtId="3" fontId="0" fillId="13" borderId="64" xfId="0" applyNumberFormat="1" applyFill="1" applyBorder="1" applyAlignment="1">
      <alignment horizontal="right" indent="1"/>
    </xf>
    <xf numFmtId="10" fontId="0" fillId="13" borderId="78" xfId="1" applyNumberFormat="1" applyFont="1" applyFill="1" applyBorder="1" applyAlignment="1">
      <alignment horizontal="right" indent="1"/>
    </xf>
    <xf numFmtId="3" fontId="0" fillId="13" borderId="71" xfId="0" applyNumberFormat="1" applyFill="1" applyBorder="1" applyAlignment="1">
      <alignment horizontal="right" indent="1"/>
    </xf>
    <xf numFmtId="10" fontId="0" fillId="13" borderId="109" xfId="1" applyNumberFormat="1" applyFont="1" applyFill="1" applyBorder="1" applyAlignment="1">
      <alignment horizontal="right" indent="1"/>
    </xf>
    <xf numFmtId="10" fontId="0" fillId="13" borderId="0" xfId="1" applyNumberFormat="1" applyFont="1" applyFill="1" applyBorder="1" applyAlignment="1">
      <alignment horizontal="right" indent="1"/>
    </xf>
    <xf numFmtId="164" fontId="0" fillId="13" borderId="50" xfId="1" applyNumberFormat="1" applyFont="1" applyFill="1" applyBorder="1" applyAlignment="1">
      <alignment horizontal="right" indent="1"/>
    </xf>
    <xf numFmtId="3" fontId="12" fillId="13" borderId="42" xfId="0" applyNumberFormat="1" applyFont="1" applyFill="1" applyBorder="1" applyAlignment="1">
      <alignment horizontal="right" indent="1"/>
    </xf>
    <xf numFmtId="10" fontId="12" fillId="13" borderId="45" xfId="1" applyNumberFormat="1" applyFont="1" applyFill="1" applyBorder="1" applyAlignment="1">
      <alignment horizontal="right" indent="1"/>
    </xf>
    <xf numFmtId="3" fontId="12" fillId="13" borderId="77" xfId="0" applyNumberFormat="1" applyFont="1" applyFill="1" applyBorder="1" applyAlignment="1">
      <alignment horizontal="right" indent="1"/>
    </xf>
    <xf numFmtId="10" fontId="12" fillId="13" borderId="77" xfId="1" applyNumberFormat="1" applyFont="1" applyFill="1" applyBorder="1" applyAlignment="1">
      <alignment horizontal="right" indent="1"/>
    </xf>
    <xf numFmtId="164" fontId="12" fillId="13" borderId="46" xfId="1" applyNumberFormat="1" applyFont="1" applyFill="1" applyBorder="1" applyAlignment="1">
      <alignment horizontal="right" indent="1"/>
    </xf>
    <xf numFmtId="3" fontId="0" fillId="0" borderId="0" xfId="0" applyNumberFormat="1" applyAlignment="1">
      <alignment horizontal="right" indent="1"/>
    </xf>
    <xf numFmtId="0" fontId="0" fillId="0" borderId="64" xfId="0" applyFill="1" applyBorder="1" applyAlignment="1">
      <alignment horizontal="right" indent="1"/>
    </xf>
    <xf numFmtId="0" fontId="12" fillId="0" borderId="64" xfId="0" applyFont="1" applyFill="1" applyBorder="1" applyAlignment="1">
      <alignment horizontal="right" indent="1"/>
    </xf>
    <xf numFmtId="3" fontId="0" fillId="0" borderId="0" xfId="0" applyNumberFormat="1" applyBorder="1" applyAlignment="1">
      <alignment horizontal="right" indent="1"/>
    </xf>
    <xf numFmtId="0" fontId="12" fillId="0" borderId="0" xfId="0" applyFont="1" applyFill="1" applyBorder="1" applyAlignment="1">
      <alignment horizontal="right" indent="1"/>
    </xf>
    <xf numFmtId="9" fontId="12" fillId="11" borderId="106" xfId="0" applyNumberFormat="1" applyFont="1" applyFill="1" applyBorder="1" applyAlignment="1">
      <alignment horizontal="right" vertical="center" wrapText="1" indent="1"/>
    </xf>
    <xf numFmtId="0" fontId="0" fillId="14" borderId="56" xfId="0" applyFill="1" applyBorder="1" applyAlignment="1">
      <alignment horizontal="right" indent="1"/>
    </xf>
    <xf numFmtId="10" fontId="0" fillId="14" borderId="105" xfId="1" applyNumberFormat="1" applyFont="1" applyFill="1" applyBorder="1" applyAlignment="1">
      <alignment horizontal="right" indent="1"/>
    </xf>
    <xf numFmtId="0" fontId="0" fillId="14" borderId="0" xfId="0" applyFill="1" applyBorder="1" applyAlignment="1">
      <alignment horizontal="right" indent="1"/>
    </xf>
    <xf numFmtId="0" fontId="0" fillId="14" borderId="57" xfId="0" applyFill="1" applyBorder="1" applyAlignment="1">
      <alignment horizontal="right" indent="1"/>
    </xf>
    <xf numFmtId="10" fontId="0" fillId="14" borderId="57" xfId="1" applyNumberFormat="1" applyFont="1" applyFill="1" applyBorder="1" applyAlignment="1">
      <alignment horizontal="right" indent="1"/>
    </xf>
    <xf numFmtId="164" fontId="0" fillId="14" borderId="56" xfId="1" applyNumberFormat="1" applyFont="1" applyFill="1" applyBorder="1" applyAlignment="1">
      <alignment horizontal="right" indent="1"/>
    </xf>
    <xf numFmtId="164" fontId="0" fillId="14" borderId="49" xfId="1" applyNumberFormat="1" applyFont="1" applyFill="1" applyBorder="1" applyAlignment="1">
      <alignment horizontal="right" indent="1"/>
    </xf>
    <xf numFmtId="0" fontId="0" fillId="14" borderId="64" xfId="0" applyFill="1" applyBorder="1" applyAlignment="1">
      <alignment horizontal="right" indent="1"/>
    </xf>
    <xf numFmtId="10" fontId="0" fillId="14" borderId="78" xfId="1" applyNumberFormat="1" applyFont="1" applyFill="1" applyBorder="1" applyAlignment="1">
      <alignment horizontal="right" indent="1"/>
    </xf>
    <xf numFmtId="10" fontId="0" fillId="14" borderId="0" xfId="1" applyNumberFormat="1" applyFont="1" applyFill="1" applyBorder="1" applyAlignment="1">
      <alignment horizontal="right" indent="1"/>
    </xf>
    <xf numFmtId="164" fontId="0" fillId="14" borderId="0" xfId="1" applyNumberFormat="1" applyFont="1" applyFill="1" applyBorder="1" applyAlignment="1">
      <alignment horizontal="right" indent="1"/>
    </xf>
    <xf numFmtId="164" fontId="0" fillId="14" borderId="50" xfId="1" applyNumberFormat="1" applyFont="1" applyFill="1" applyBorder="1" applyAlignment="1">
      <alignment horizontal="right" indent="1"/>
    </xf>
    <xf numFmtId="0" fontId="0" fillId="14" borderId="71" xfId="0" applyFill="1" applyBorder="1" applyAlignment="1">
      <alignment horizontal="right" indent="1"/>
    </xf>
    <xf numFmtId="0" fontId="0" fillId="14" borderId="72" xfId="0" applyFill="1" applyBorder="1" applyAlignment="1">
      <alignment horizontal="right" indent="1"/>
    </xf>
    <xf numFmtId="10" fontId="0" fillId="14" borderId="109" xfId="1" applyNumberFormat="1" applyFont="1" applyFill="1" applyBorder="1" applyAlignment="1">
      <alignment horizontal="right" indent="1"/>
    </xf>
    <xf numFmtId="0" fontId="12" fillId="14" borderId="42" xfId="0" applyFont="1" applyFill="1" applyBorder="1" applyAlignment="1">
      <alignment horizontal="right" indent="1"/>
    </xf>
    <xf numFmtId="10" fontId="12" fillId="14" borderId="45" xfId="1" applyNumberFormat="1" applyFont="1" applyFill="1" applyBorder="1" applyAlignment="1">
      <alignment horizontal="right" indent="1"/>
    </xf>
    <xf numFmtId="0" fontId="12" fillId="14" borderId="77" xfId="0" applyFont="1" applyFill="1" applyBorder="1" applyAlignment="1">
      <alignment horizontal="right" indent="1"/>
    </xf>
    <xf numFmtId="10" fontId="12" fillId="14" borderId="77" xfId="1" applyNumberFormat="1" applyFont="1" applyFill="1" applyBorder="1" applyAlignment="1">
      <alignment horizontal="right" indent="1"/>
    </xf>
    <xf numFmtId="164" fontId="12" fillId="14" borderId="77" xfId="1" applyNumberFormat="1" applyFont="1" applyFill="1" applyBorder="1" applyAlignment="1">
      <alignment horizontal="right" indent="1"/>
    </xf>
    <xf numFmtId="164" fontId="12" fillId="14" borderId="46" xfId="1" applyNumberFormat="1" applyFont="1" applyFill="1" applyBorder="1" applyAlignment="1">
      <alignment horizontal="right" indent="1"/>
    </xf>
    <xf numFmtId="3" fontId="0" fillId="14" borderId="56" xfId="0" applyNumberFormat="1" applyFill="1" applyBorder="1" applyAlignment="1">
      <alignment horizontal="right" indent="1"/>
    </xf>
    <xf numFmtId="3" fontId="0" fillId="14" borderId="57" xfId="0" applyNumberFormat="1" applyFill="1" applyBorder="1" applyAlignment="1">
      <alignment horizontal="right" indent="1"/>
    </xf>
    <xf numFmtId="10" fontId="0" fillId="0" borderId="0" xfId="1" applyNumberFormat="1" applyFont="1" applyAlignment="1">
      <alignment horizontal="right" indent="1"/>
    </xf>
    <xf numFmtId="10" fontId="0" fillId="0" borderId="0" xfId="0" applyNumberFormat="1" applyAlignment="1">
      <alignment horizontal="right" indent="1"/>
    </xf>
    <xf numFmtId="3" fontId="0" fillId="14" borderId="64" xfId="0" applyNumberFormat="1" applyFill="1" applyBorder="1" applyAlignment="1">
      <alignment horizontal="right" indent="1"/>
    </xf>
    <xf numFmtId="3" fontId="0" fillId="14" borderId="0" xfId="0" applyNumberFormat="1" applyFill="1" applyBorder="1" applyAlignment="1">
      <alignment horizontal="right" indent="1"/>
    </xf>
    <xf numFmtId="3" fontId="0" fillId="14" borderId="71" xfId="0" applyNumberFormat="1" applyFill="1" applyBorder="1" applyAlignment="1">
      <alignment horizontal="right" indent="1"/>
    </xf>
    <xf numFmtId="3" fontId="0" fillId="14" borderId="72" xfId="0" applyNumberFormat="1" applyFill="1" applyBorder="1" applyAlignment="1">
      <alignment horizontal="right" indent="1"/>
    </xf>
    <xf numFmtId="3" fontId="12" fillId="14" borderId="42" xfId="0" applyNumberFormat="1" applyFont="1" applyFill="1" applyBorder="1" applyAlignment="1">
      <alignment horizontal="right" indent="1"/>
    </xf>
    <xf numFmtId="3" fontId="12" fillId="14" borderId="77" xfId="0" applyNumberFormat="1" applyFont="1" applyFill="1" applyBorder="1" applyAlignment="1">
      <alignment horizontal="right" indent="1"/>
    </xf>
    <xf numFmtId="10" fontId="12" fillId="11" borderId="77" xfId="0" applyNumberFormat="1" applyFont="1" applyFill="1" applyBorder="1" applyAlignment="1">
      <alignment horizontal="right" indent="1"/>
    </xf>
    <xf numFmtId="10" fontId="12" fillId="11" borderId="49" xfId="0" applyNumberFormat="1" applyFont="1" applyFill="1" applyBorder="1" applyAlignment="1">
      <alignment horizontal="right" vertical="center" wrapText="1" indent="1"/>
    </xf>
    <xf numFmtId="3" fontId="0" fillId="15" borderId="56" xfId="0" applyNumberFormat="1" applyFill="1" applyBorder="1" applyAlignment="1">
      <alignment horizontal="right" indent="1"/>
    </xf>
    <xf numFmtId="10" fontId="0" fillId="15" borderId="105" xfId="1" applyNumberFormat="1" applyFont="1" applyFill="1" applyBorder="1" applyAlignment="1">
      <alignment horizontal="right" indent="1"/>
    </xf>
    <xf numFmtId="3" fontId="0" fillId="15" borderId="0" xfId="0" applyNumberFormat="1" applyFill="1" applyBorder="1" applyAlignment="1">
      <alignment horizontal="right" indent="1"/>
    </xf>
    <xf numFmtId="3" fontId="0" fillId="15" borderId="57" xfId="0" applyNumberFormat="1" applyFill="1" applyBorder="1" applyAlignment="1">
      <alignment horizontal="right" indent="1"/>
    </xf>
    <xf numFmtId="10" fontId="0" fillId="15" borderId="57" xfId="1" applyNumberFormat="1" applyFont="1" applyFill="1" applyBorder="1" applyAlignment="1">
      <alignment horizontal="right" indent="1"/>
    </xf>
    <xf numFmtId="164" fontId="0" fillId="15" borderId="56" xfId="1" applyNumberFormat="1" applyFont="1" applyFill="1" applyBorder="1" applyAlignment="1">
      <alignment horizontal="right" indent="1"/>
    </xf>
    <xf numFmtId="164" fontId="0" fillId="15" borderId="49" xfId="1" applyNumberFormat="1" applyFont="1" applyFill="1" applyBorder="1" applyAlignment="1">
      <alignment horizontal="right" indent="1"/>
    </xf>
    <xf numFmtId="3" fontId="0" fillId="15" borderId="64" xfId="0" applyNumberFormat="1" applyFill="1" applyBorder="1" applyAlignment="1">
      <alignment horizontal="right" indent="1"/>
    </xf>
    <xf numFmtId="10" fontId="0" fillId="15" borderId="78" xfId="1" applyNumberFormat="1" applyFont="1" applyFill="1" applyBorder="1" applyAlignment="1">
      <alignment horizontal="right" indent="1"/>
    </xf>
    <xf numFmtId="10" fontId="0" fillId="15" borderId="0" xfId="1" applyNumberFormat="1" applyFont="1" applyFill="1" applyBorder="1" applyAlignment="1">
      <alignment horizontal="right" indent="1"/>
    </xf>
    <xf numFmtId="164" fontId="0" fillId="15" borderId="0" xfId="1" applyNumberFormat="1" applyFont="1" applyFill="1" applyBorder="1" applyAlignment="1">
      <alignment horizontal="right" indent="1"/>
    </xf>
    <xf numFmtId="164" fontId="0" fillId="15" borderId="50" xfId="1" applyNumberFormat="1" applyFont="1" applyFill="1" applyBorder="1" applyAlignment="1">
      <alignment horizontal="right" indent="1"/>
    </xf>
    <xf numFmtId="3" fontId="0" fillId="15" borderId="71" xfId="0" applyNumberFormat="1" applyFill="1" applyBorder="1" applyAlignment="1">
      <alignment horizontal="right" indent="1"/>
    </xf>
    <xf numFmtId="3" fontId="0" fillId="15" borderId="72" xfId="0" applyNumberFormat="1" applyFill="1" applyBorder="1" applyAlignment="1">
      <alignment horizontal="right" indent="1"/>
    </xf>
    <xf numFmtId="10" fontId="0" fillId="15" borderId="109" xfId="1" applyNumberFormat="1" applyFont="1" applyFill="1" applyBorder="1" applyAlignment="1">
      <alignment horizontal="right" indent="1"/>
    </xf>
    <xf numFmtId="3" fontId="12" fillId="15" borderId="42" xfId="0" applyNumberFormat="1" applyFont="1" applyFill="1" applyBorder="1" applyAlignment="1">
      <alignment horizontal="right" indent="1"/>
    </xf>
    <xf numFmtId="10" fontId="12" fillId="15" borderId="45" xfId="1" applyNumberFormat="1" applyFont="1" applyFill="1" applyBorder="1" applyAlignment="1">
      <alignment horizontal="right" indent="1"/>
    </xf>
    <xf numFmtId="3" fontId="12" fillId="15" borderId="77" xfId="0" applyNumberFormat="1" applyFont="1" applyFill="1" applyBorder="1" applyAlignment="1">
      <alignment horizontal="right" indent="1"/>
    </xf>
    <xf numFmtId="10" fontId="12" fillId="15" borderId="77" xfId="1" applyNumberFormat="1" applyFont="1" applyFill="1" applyBorder="1" applyAlignment="1">
      <alignment horizontal="right" indent="1"/>
    </xf>
    <xf numFmtId="164" fontId="12" fillId="15" borderId="77" xfId="1" applyNumberFormat="1" applyFont="1" applyFill="1" applyBorder="1" applyAlignment="1">
      <alignment horizontal="right" indent="1"/>
    </xf>
    <xf numFmtId="164" fontId="12" fillId="15" borderId="46" xfId="1" applyNumberFormat="1" applyFont="1" applyFill="1" applyBorder="1" applyAlignment="1">
      <alignment horizontal="right" indent="1"/>
    </xf>
    <xf numFmtId="10" fontId="0" fillId="0" borderId="13" xfId="0" applyNumberFormat="1" applyBorder="1" applyAlignment="1">
      <alignment horizontal="right" indent="1"/>
    </xf>
    <xf numFmtId="10" fontId="0" fillId="0" borderId="10" xfId="1" applyNumberFormat="1" applyFont="1" applyBorder="1" applyAlignment="1">
      <alignment horizontal="right" indent="1"/>
    </xf>
    <xf numFmtId="10" fontId="0" fillId="0" borderId="13" xfId="1" applyNumberFormat="1" applyFont="1" applyBorder="1" applyAlignment="1">
      <alignment horizontal="right" indent="1"/>
    </xf>
    <xf numFmtId="10" fontId="0" fillId="0" borderId="20" xfId="1" applyNumberFormat="1" applyFont="1" applyBorder="1" applyAlignment="1">
      <alignment horizontal="right" indent="1"/>
    </xf>
    <xf numFmtId="10" fontId="0" fillId="0" borderId="14" xfId="1" applyNumberFormat="1" applyFont="1" applyBorder="1" applyAlignment="1">
      <alignment horizontal="right" indent="1"/>
    </xf>
    <xf numFmtId="10" fontId="0" fillId="0" borderId="22" xfId="1" applyNumberFormat="1" applyFont="1" applyBorder="1" applyAlignment="1">
      <alignment horizontal="right" indent="1"/>
    </xf>
    <xf numFmtId="10" fontId="0" fillId="0" borderId="23" xfId="1" applyNumberFormat="1" applyFont="1" applyBorder="1" applyAlignment="1">
      <alignment horizontal="right" indent="1"/>
    </xf>
    <xf numFmtId="10" fontId="0" fillId="0" borderId="38" xfId="0" applyNumberFormat="1" applyBorder="1" applyAlignment="1">
      <alignment horizontal="right" indent="1"/>
    </xf>
    <xf numFmtId="10" fontId="0" fillId="0" borderId="30" xfId="1" applyNumberFormat="1" applyFont="1" applyBorder="1" applyAlignment="1">
      <alignment horizontal="right" indent="1"/>
    </xf>
    <xf numFmtId="10" fontId="0" fillId="0" borderId="32" xfId="1" applyNumberFormat="1" applyFont="1" applyBorder="1" applyAlignment="1">
      <alignment horizontal="right" indent="1"/>
    </xf>
    <xf numFmtId="10" fontId="0" fillId="0" borderId="38" xfId="1" applyNumberFormat="1" applyFont="1" applyBorder="1" applyAlignment="1">
      <alignment horizontal="right" indent="1"/>
    </xf>
    <xf numFmtId="3" fontId="0" fillId="0" borderId="31" xfId="0" applyNumberFormat="1" applyBorder="1" applyAlignment="1">
      <alignment horizontal="right" indent="1"/>
    </xf>
    <xf numFmtId="0" fontId="0" fillId="0" borderId="17" xfId="0" applyBorder="1" applyAlignment="1">
      <alignment horizontal="left" indent="1"/>
    </xf>
    <xf numFmtId="0" fontId="0" fillId="0" borderId="14" xfId="0" applyBorder="1" applyAlignment="1">
      <alignment horizontal="left" indent="1"/>
    </xf>
    <xf numFmtId="0" fontId="0" fillId="0" borderId="34" xfId="0" applyBorder="1" applyAlignment="1">
      <alignment horizontal="left" indent="1"/>
    </xf>
    <xf numFmtId="0" fontId="0" fillId="0" borderId="23" xfId="0" applyBorder="1" applyAlignment="1">
      <alignment horizontal="left" indent="1"/>
    </xf>
    <xf numFmtId="0" fontId="0" fillId="0" borderId="18" xfId="0" applyFill="1" applyBorder="1" applyAlignment="1">
      <alignment horizontal="left" indent="1"/>
    </xf>
    <xf numFmtId="0" fontId="0" fillId="0" borderId="21" xfId="0" applyFill="1" applyBorder="1" applyAlignment="1">
      <alignment horizontal="left" indent="1"/>
    </xf>
    <xf numFmtId="0" fontId="0" fillId="0" borderId="35" xfId="0" applyFill="1" applyBorder="1" applyAlignment="1">
      <alignment horizontal="left" indent="1"/>
    </xf>
    <xf numFmtId="0" fontId="0" fillId="0" borderId="24" xfId="0" applyFill="1" applyBorder="1" applyAlignment="1">
      <alignment horizontal="left" indent="1"/>
    </xf>
    <xf numFmtId="0" fontId="7" fillId="0" borderId="45" xfId="8"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wrapText="1"/>
    </xf>
    <xf numFmtId="0" fontId="8" fillId="0" borderId="33" xfId="8" applyFont="1" applyBorder="1" applyAlignment="1">
      <alignment horizontal="center" vertical="center"/>
    </xf>
    <xf numFmtId="10" fontId="0" fillId="0" borderId="0" xfId="1" applyNumberFormat="1" applyFont="1" applyBorder="1" applyAlignment="1">
      <alignment horizontal="right" vertical="center" indent="1"/>
    </xf>
    <xf numFmtId="0" fontId="0" fillId="0" borderId="0" xfId="0"/>
    <xf numFmtId="1" fontId="0" fillId="0" borderId="0" xfId="0" applyNumberFormat="1"/>
    <xf numFmtId="0" fontId="0" fillId="0" borderId="0" xfId="0"/>
    <xf numFmtId="0" fontId="8" fillId="0" borderId="34" xfId="5" applyFont="1" applyBorder="1" applyAlignment="1">
      <alignment horizontal="left" vertical="center"/>
    </xf>
    <xf numFmtId="0" fontId="8" fillId="0" borderId="48" xfId="5" applyFont="1" applyBorder="1" applyAlignment="1">
      <alignment horizontal="left" vertical="center"/>
    </xf>
    <xf numFmtId="10" fontId="8" fillId="0" borderId="17" xfId="1" applyNumberFormat="1" applyFont="1" applyBorder="1" applyAlignment="1">
      <alignment horizontal="right" vertical="center" indent="1"/>
    </xf>
    <xf numFmtId="10" fontId="8" fillId="0" borderId="14" xfId="1" applyNumberFormat="1" applyFont="1" applyBorder="1" applyAlignment="1">
      <alignment horizontal="right" vertical="center" indent="1"/>
    </xf>
    <xf numFmtId="10" fontId="8" fillId="0" borderId="34" xfId="1" applyNumberFormat="1" applyFont="1" applyBorder="1" applyAlignment="1">
      <alignment horizontal="right" vertical="center" indent="1"/>
    </xf>
    <xf numFmtId="3" fontId="8" fillId="0" borderId="47" xfId="5" applyNumberFormat="1" applyFont="1" applyBorder="1" applyAlignment="1">
      <alignment horizontal="right" vertical="center" indent="1"/>
    </xf>
    <xf numFmtId="3" fontId="8" fillId="0" borderId="40" xfId="5" applyNumberFormat="1" applyFont="1" applyBorder="1" applyAlignment="1">
      <alignment horizontal="right" vertical="center" indent="1"/>
    </xf>
    <xf numFmtId="3" fontId="8" fillId="0" borderId="48" xfId="5" applyNumberFormat="1" applyFont="1" applyBorder="1" applyAlignment="1">
      <alignment horizontal="right" vertical="center" inden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43" xfId="0" applyBorder="1" applyAlignment="1">
      <alignment horizontal="center"/>
    </xf>
    <xf numFmtId="3" fontId="8" fillId="6" borderId="11" xfId="0" applyNumberFormat="1" applyFont="1" applyFill="1" applyBorder="1" applyAlignment="1">
      <alignment horizontal="right" indent="1"/>
    </xf>
    <xf numFmtId="3" fontId="8" fillId="6" borderId="21" xfId="0" applyNumberFormat="1" applyFont="1" applyFill="1" applyBorder="1" applyAlignment="1">
      <alignment horizontal="right" indent="1"/>
    </xf>
    <xf numFmtId="3" fontId="6" fillId="0" borderId="21" xfId="8" applyNumberFormat="1" applyFont="1" applyFill="1" applyBorder="1" applyAlignment="1">
      <alignment horizontal="right" vertical="center" indent="1"/>
    </xf>
    <xf numFmtId="3" fontId="8" fillId="6" borderId="35" xfId="0" applyNumberFormat="1" applyFont="1" applyFill="1" applyBorder="1" applyAlignment="1">
      <alignment horizontal="right" indent="1"/>
    </xf>
    <xf numFmtId="3" fontId="8" fillId="6" borderId="63" xfId="0" applyNumberFormat="1" applyFont="1" applyFill="1" applyBorder="1" applyAlignment="1">
      <alignment horizontal="right" indent="1"/>
    </xf>
    <xf numFmtId="3" fontId="8" fillId="0" borderId="35" xfId="0" applyNumberFormat="1" applyFont="1" applyFill="1" applyBorder="1" applyAlignment="1">
      <alignment horizontal="right" indent="1"/>
    </xf>
    <xf numFmtId="3" fontId="8" fillId="0" borderId="21" xfId="0" applyNumberFormat="1" applyFont="1" applyFill="1" applyBorder="1" applyAlignment="1">
      <alignment horizontal="right" indent="1"/>
    </xf>
    <xf numFmtId="0" fontId="0" fillId="0" borderId="17" xfId="0" applyBorder="1" applyAlignment="1">
      <alignment horizontal="center"/>
    </xf>
    <xf numFmtId="0" fontId="0" fillId="0" borderId="43"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12" fillId="0" borderId="0" xfId="0" applyFont="1" applyAlignment="1">
      <alignment horizontal="center"/>
    </xf>
    <xf numFmtId="3" fontId="8" fillId="7" borderId="70" xfId="10" applyNumberFormat="1" applyFont="1" applyFill="1" applyBorder="1" applyAlignment="1">
      <alignment horizontal="right" vertical="center"/>
    </xf>
    <xf numFmtId="172" fontId="0" fillId="0" borderId="0" xfId="1" applyNumberFormat="1" applyFont="1"/>
    <xf numFmtId="0" fontId="12" fillId="0" borderId="0" xfId="0" applyFont="1"/>
    <xf numFmtId="3" fontId="12" fillId="0" borderId="0" xfId="0" applyNumberFormat="1" applyFont="1"/>
    <xf numFmtId="0" fontId="1" fillId="0" borderId="0" xfId="8" applyFont="1"/>
    <xf numFmtId="3" fontId="1" fillId="0" borderId="0" xfId="8" applyNumberFormat="1" applyFont="1"/>
    <xf numFmtId="14" fontId="1" fillId="0" borderId="0" xfId="8" applyNumberFormat="1" applyAlignment="1">
      <alignment horizontal="right"/>
    </xf>
    <xf numFmtId="14" fontId="7" fillId="0" borderId="0" xfId="8" applyNumberFormat="1" applyFont="1" applyBorder="1" applyAlignment="1"/>
    <xf numFmtId="2" fontId="0" fillId="0" borderId="0" xfId="0" applyNumberFormat="1"/>
    <xf numFmtId="0" fontId="0" fillId="0" borderId="2" xfId="0" applyBorder="1" applyAlignment="1">
      <alignment horizontal="center" vertical="center" wrapText="1"/>
    </xf>
    <xf numFmtId="0" fontId="0" fillId="0" borderId="4" xfId="0" applyBorder="1" applyAlignment="1">
      <alignment horizontal="center" vertical="center" wrapText="1"/>
    </xf>
    <xf numFmtId="0" fontId="12" fillId="0" borderId="46" xfId="0" applyFont="1" applyBorder="1" applyAlignment="1">
      <alignment horizontal="center" vertical="center" wrapText="1"/>
    </xf>
    <xf numFmtId="0" fontId="7" fillId="0" borderId="46" xfId="8" applyFont="1" applyFill="1" applyBorder="1" applyAlignment="1">
      <alignment horizontal="center" vertical="center"/>
    </xf>
    <xf numFmtId="0" fontId="0" fillId="0" borderId="1" xfId="0" applyBorder="1" applyAlignment="1">
      <alignment horizontal="center" vertical="center" wrapText="1"/>
    </xf>
    <xf numFmtId="10" fontId="0" fillId="0" borderId="0" xfId="0" applyNumberFormat="1"/>
    <xf numFmtId="3" fontId="8" fillId="0" borderId="19" xfId="0" applyNumberFormat="1" applyFont="1" applyBorder="1" applyAlignment="1">
      <alignment horizontal="right" vertical="center" indent="1"/>
    </xf>
    <xf numFmtId="3" fontId="8" fillId="6" borderId="19" xfId="0" applyNumberFormat="1" applyFont="1" applyFill="1" applyBorder="1" applyAlignment="1">
      <alignment horizontal="right" vertical="center" indent="1"/>
    </xf>
    <xf numFmtId="3" fontId="8" fillId="6" borderId="37" xfId="0" applyNumberFormat="1" applyFont="1" applyFill="1" applyBorder="1" applyAlignment="1">
      <alignment horizontal="right" vertical="center" indent="1"/>
    </xf>
    <xf numFmtId="3" fontId="5" fillId="6" borderId="4" xfId="0" applyNumberFormat="1" applyFont="1" applyFill="1" applyBorder="1" applyAlignment="1">
      <alignment horizontal="right" vertical="center" indent="1"/>
    </xf>
    <xf numFmtId="3" fontId="7" fillId="7" borderId="46" xfId="10" applyNumberFormat="1" applyFont="1" applyFill="1" applyBorder="1" applyAlignment="1">
      <alignment horizontal="right" vertical="center"/>
    </xf>
    <xf numFmtId="164" fontId="0" fillId="0" borderId="0" xfId="0" applyNumberFormat="1"/>
    <xf numFmtId="0" fontId="5" fillId="0" borderId="42" xfId="0" applyFont="1" applyBorder="1" applyAlignment="1">
      <alignment horizontal="center" vertical="center" wrapText="1"/>
    </xf>
    <xf numFmtId="10" fontId="8" fillId="0" borderId="53" xfId="1" applyNumberFormat="1" applyFont="1" applyBorder="1" applyAlignment="1">
      <alignment horizontal="right" vertical="center" indent="1"/>
    </xf>
    <xf numFmtId="10" fontId="8" fillId="6" borderId="53" xfId="1" applyNumberFormat="1" applyFont="1" applyFill="1" applyBorder="1" applyAlignment="1">
      <alignment horizontal="right" vertical="center" indent="1"/>
    </xf>
    <xf numFmtId="10" fontId="8" fillId="6" borderId="117" xfId="1" applyNumberFormat="1" applyFont="1" applyFill="1" applyBorder="1" applyAlignment="1">
      <alignment horizontal="right" vertical="center" indent="1"/>
    </xf>
    <xf numFmtId="165" fontId="5" fillId="6" borderId="42" xfId="1" applyNumberFormat="1" applyFont="1" applyFill="1" applyBorder="1" applyAlignment="1">
      <alignment horizontal="right" vertical="center" indent="1"/>
    </xf>
    <xf numFmtId="3" fontId="7" fillId="4" borderId="106" xfId="8" applyNumberFormat="1" applyFont="1" applyFill="1" applyBorder="1" applyAlignment="1">
      <alignment horizontal="center" vertical="center"/>
    </xf>
    <xf numFmtId="3" fontId="7" fillId="5" borderId="116" xfId="8" applyNumberFormat="1" applyFont="1" applyFill="1" applyBorder="1" applyAlignment="1">
      <alignment horizontal="center" vertical="center"/>
    </xf>
    <xf numFmtId="3" fontId="7" fillId="3" borderId="116" xfId="8" applyNumberFormat="1" applyFont="1" applyFill="1" applyBorder="1" applyAlignment="1">
      <alignment horizontal="center" vertical="center"/>
    </xf>
    <xf numFmtId="3" fontId="7" fillId="2" borderId="108" xfId="8" applyNumberFormat="1" applyFont="1" applyFill="1" applyBorder="1" applyAlignment="1">
      <alignment horizontal="center" vertical="center"/>
    </xf>
    <xf numFmtId="164" fontId="8" fillId="0" borderId="92" xfId="1" applyNumberFormat="1" applyFont="1" applyFill="1" applyBorder="1" applyAlignment="1">
      <alignment horizontal="right" indent="1"/>
    </xf>
    <xf numFmtId="3" fontId="8" fillId="0" borderId="17" xfId="0" applyNumberFormat="1" applyFont="1" applyFill="1" applyBorder="1" applyAlignment="1">
      <alignment horizontal="right" indent="1"/>
    </xf>
    <xf numFmtId="3" fontId="8" fillId="0" borderId="93" xfId="0" applyNumberFormat="1" applyFont="1" applyFill="1" applyBorder="1" applyAlignment="1">
      <alignment horizontal="right" indent="1"/>
    </xf>
    <xf numFmtId="164" fontId="8" fillId="0" borderId="12" xfId="1" applyNumberFormat="1" applyFont="1" applyFill="1" applyBorder="1" applyAlignment="1">
      <alignment horizontal="right" indent="1"/>
    </xf>
    <xf numFmtId="164" fontId="8" fillId="0" borderId="53" xfId="1" applyNumberFormat="1" applyFont="1" applyFill="1" applyBorder="1" applyAlignment="1">
      <alignment horizontal="right" indent="1"/>
    </xf>
    <xf numFmtId="3" fontId="8" fillId="0" borderId="14" xfId="0" applyNumberFormat="1" applyFont="1" applyFill="1" applyBorder="1" applyAlignment="1">
      <alignment horizontal="right" indent="1"/>
    </xf>
    <xf numFmtId="3" fontId="8" fillId="0" borderId="54" xfId="0" applyNumberFormat="1" applyFont="1" applyFill="1" applyBorder="1" applyAlignment="1">
      <alignment horizontal="right" indent="1"/>
    </xf>
    <xf numFmtId="164" fontId="8" fillId="0" borderId="19" xfId="1" applyNumberFormat="1" applyFont="1" applyFill="1" applyBorder="1" applyAlignment="1">
      <alignment horizontal="right" indent="1"/>
    </xf>
    <xf numFmtId="164" fontId="8" fillId="0" borderId="107" xfId="1" applyNumberFormat="1" applyFont="1" applyFill="1" applyBorder="1" applyAlignment="1">
      <alignment horizontal="right" indent="1"/>
    </xf>
    <xf numFmtId="3" fontId="8" fillId="0" borderId="23" xfId="0" applyNumberFormat="1" applyFont="1" applyFill="1" applyBorder="1" applyAlignment="1">
      <alignment horizontal="right" indent="1"/>
    </xf>
    <xf numFmtId="3" fontId="8" fillId="0" borderId="84" xfId="0" applyNumberFormat="1" applyFont="1" applyFill="1" applyBorder="1" applyAlignment="1">
      <alignment horizontal="right" indent="1"/>
    </xf>
    <xf numFmtId="164" fontId="8" fillId="0" borderId="26" xfId="1" applyNumberFormat="1" applyFont="1" applyFill="1" applyBorder="1" applyAlignment="1">
      <alignment horizontal="right" indent="1"/>
    </xf>
    <xf numFmtId="164" fontId="7" fillId="0" borderId="42" xfId="1" applyNumberFormat="1" applyFont="1" applyFill="1" applyBorder="1" applyAlignment="1">
      <alignment horizontal="right" vertical="center" indent="1"/>
    </xf>
    <xf numFmtId="3" fontId="7" fillId="0" borderId="2" xfId="8" applyNumberFormat="1" applyFont="1" applyFill="1" applyBorder="1" applyAlignment="1">
      <alignment horizontal="right" vertical="center" indent="1"/>
    </xf>
    <xf numFmtId="3" fontId="7" fillId="0" borderId="77" xfId="8" applyNumberFormat="1" applyFont="1" applyFill="1" applyBorder="1" applyAlignment="1">
      <alignment horizontal="right" vertical="center" indent="1"/>
    </xf>
    <xf numFmtId="164" fontId="7" fillId="0" borderId="4" xfId="1" applyNumberFormat="1" applyFont="1" applyFill="1" applyBorder="1" applyAlignment="1">
      <alignment horizontal="right" vertical="center" indent="1"/>
    </xf>
    <xf numFmtId="0" fontId="8" fillId="0" borderId="0" xfId="0" applyFont="1" applyAlignment="1">
      <alignment horizontal="left" wrapText="1"/>
    </xf>
    <xf numFmtId="0" fontId="5" fillId="0" borderId="14" xfId="10" applyFont="1" applyFill="1" applyBorder="1" applyAlignment="1">
      <alignment horizontal="left" vertical="center"/>
    </xf>
    <xf numFmtId="0" fontId="6" fillId="0" borderId="0" xfId="10" applyFont="1" applyFill="1" applyBorder="1" applyAlignment="1">
      <alignment horizontal="left" vertical="center"/>
    </xf>
    <xf numFmtId="0" fontId="14" fillId="6" borderId="3" xfId="10" applyFont="1" applyFill="1" applyBorder="1" applyAlignment="1">
      <alignment horizontal="left" vertical="center"/>
    </xf>
    <xf numFmtId="0" fontId="14" fillId="6" borderId="77" xfId="10" applyFont="1" applyFill="1" applyBorder="1" applyAlignment="1">
      <alignment horizontal="left" vertical="center"/>
    </xf>
    <xf numFmtId="0" fontId="17" fillId="0" borderId="21" xfId="10" applyFont="1" applyFill="1" applyBorder="1" applyAlignment="1">
      <alignment horizontal="left" vertical="center"/>
    </xf>
    <xf numFmtId="0" fontId="17" fillId="0" borderId="54" xfId="10" applyFont="1" applyFill="1" applyBorder="1" applyAlignment="1">
      <alignment horizontal="left" vertical="center"/>
    </xf>
    <xf numFmtId="0" fontId="17" fillId="0" borderId="16" xfId="10" applyFont="1" applyFill="1" applyBorder="1" applyAlignment="1">
      <alignment horizontal="left" vertical="center"/>
    </xf>
    <xf numFmtId="0" fontId="6" fillId="0" borderId="11" xfId="10" applyFont="1" applyFill="1" applyBorder="1" applyAlignment="1">
      <alignment horizontal="left" vertical="center"/>
    </xf>
    <xf numFmtId="0" fontId="6" fillId="0" borderId="8" xfId="10" applyFont="1" applyFill="1" applyBorder="1" applyAlignment="1">
      <alignment horizontal="left" vertical="center"/>
    </xf>
    <xf numFmtId="0" fontId="6" fillId="0" borderId="21" xfId="10" applyFont="1" applyFill="1" applyBorder="1" applyAlignment="1">
      <alignment horizontal="left" vertical="center"/>
    </xf>
    <xf numFmtId="0" fontId="6" fillId="0" borderId="54" xfId="10" applyFont="1" applyFill="1" applyBorder="1" applyAlignment="1">
      <alignment horizontal="left"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23" fillId="6" borderId="3" xfId="10" applyFont="1" applyFill="1" applyBorder="1" applyAlignment="1">
      <alignment horizontal="left" vertical="center"/>
    </xf>
    <xf numFmtId="0" fontId="23" fillId="6" borderId="77" xfId="10" applyFont="1" applyFill="1" applyBorder="1" applyAlignment="1">
      <alignment horizontal="left" vertical="center"/>
    </xf>
    <xf numFmtId="0" fontId="23" fillId="6" borderId="32" xfId="10" applyFont="1" applyFill="1" applyBorder="1" applyAlignment="1">
      <alignment horizontal="left" vertical="center"/>
    </xf>
    <xf numFmtId="0" fontId="23" fillId="6" borderId="72" xfId="10" applyFont="1" applyFill="1" applyBorder="1" applyAlignment="1">
      <alignment horizontal="left" vertical="center"/>
    </xf>
    <xf numFmtId="0" fontId="30" fillId="0" borderId="21" xfId="10" applyFont="1" applyFill="1" applyBorder="1" applyAlignment="1">
      <alignment horizontal="left" vertical="center"/>
    </xf>
    <xf numFmtId="0" fontId="30" fillId="0" borderId="54" xfId="10" applyFont="1" applyFill="1" applyBorder="1" applyAlignment="1">
      <alignment horizontal="left" vertical="center"/>
    </xf>
    <xf numFmtId="0" fontId="30" fillId="0" borderId="16" xfId="10" applyFont="1" applyFill="1" applyBorder="1" applyAlignment="1">
      <alignment horizontal="left" vertical="center"/>
    </xf>
    <xf numFmtId="10" fontId="18" fillId="0" borderId="58" xfId="10" applyNumberFormat="1" applyFont="1" applyFill="1" applyBorder="1" applyAlignment="1">
      <alignment horizontal="center" vertical="center" wrapText="1"/>
    </xf>
    <xf numFmtId="10" fontId="18" fillId="0" borderId="65" xfId="10" applyNumberFormat="1" applyFont="1" applyFill="1" applyBorder="1" applyAlignment="1">
      <alignment horizontal="center" vertical="center" wrapText="1"/>
    </xf>
    <xf numFmtId="10" fontId="18" fillId="0" borderId="29" xfId="10" applyNumberFormat="1" applyFont="1" applyFill="1" applyBorder="1" applyAlignment="1">
      <alignment horizontal="center" vertical="center" wrapText="1"/>
    </xf>
    <xf numFmtId="49" fontId="18" fillId="0" borderId="15" xfId="10" applyNumberFormat="1" applyFont="1" applyFill="1" applyBorder="1" applyAlignment="1">
      <alignment horizontal="center" vertical="center" wrapText="1"/>
    </xf>
    <xf numFmtId="49" fontId="18" fillId="0" borderId="19" xfId="10" applyNumberFormat="1" applyFont="1" applyFill="1" applyBorder="1" applyAlignment="1">
      <alignment horizontal="center" vertical="center" wrapText="1"/>
    </xf>
    <xf numFmtId="49" fontId="18" fillId="0" borderId="26" xfId="10" applyNumberFormat="1" applyFont="1" applyFill="1" applyBorder="1" applyAlignment="1">
      <alignment horizontal="center" vertical="center" wrapText="1"/>
    </xf>
    <xf numFmtId="1" fontId="5" fillId="0" borderId="3" xfId="10" applyNumberFormat="1" applyFont="1" applyFill="1" applyBorder="1" applyAlignment="1">
      <alignment horizontal="center" vertical="center"/>
    </xf>
    <xf numFmtId="1" fontId="5" fillId="0" borderId="77" xfId="10" applyNumberFormat="1" applyFont="1" applyFill="1" applyBorder="1" applyAlignment="1">
      <alignment horizontal="center" vertical="center"/>
    </xf>
    <xf numFmtId="0" fontId="6" fillId="6" borderId="11" xfId="10" applyFont="1" applyFill="1" applyBorder="1" applyAlignment="1">
      <alignment horizontal="left" vertical="center"/>
    </xf>
    <xf numFmtId="0" fontId="6" fillId="6" borderId="8" xfId="10" applyFont="1" applyFill="1" applyBorder="1" applyAlignment="1">
      <alignment horizontal="left" vertical="center"/>
    </xf>
    <xf numFmtId="0" fontId="6" fillId="0" borderId="35" xfId="10" applyFont="1" applyFill="1" applyBorder="1" applyAlignment="1">
      <alignment horizontal="left" vertical="center"/>
    </xf>
    <xf numFmtId="0" fontId="6" fillId="0" borderId="81" xfId="10" applyFont="1" applyFill="1" applyBorder="1" applyAlignment="1">
      <alignment horizontal="left" vertical="center"/>
    </xf>
    <xf numFmtId="49" fontId="18" fillId="0" borderId="6" xfId="10" applyNumberFormat="1" applyFont="1" applyFill="1" applyBorder="1" applyAlignment="1">
      <alignment horizontal="center" vertical="center" wrapText="1"/>
    </xf>
    <xf numFmtId="49" fontId="18" fillId="0" borderId="28" xfId="10" applyNumberFormat="1" applyFont="1" applyFill="1" applyBorder="1" applyAlignment="1">
      <alignment horizontal="center" vertical="center" wrapText="1"/>
    </xf>
    <xf numFmtId="49" fontId="18" fillId="0" borderId="31" xfId="10" applyNumberFormat="1" applyFont="1" applyFill="1" applyBorder="1" applyAlignment="1">
      <alignment horizontal="center" vertical="center" wrapText="1"/>
    </xf>
    <xf numFmtId="49" fontId="7" fillId="7" borderId="62" xfId="10" applyNumberFormat="1" applyFont="1" applyFill="1" applyBorder="1" applyAlignment="1">
      <alignment horizontal="center" vertical="center" wrapText="1"/>
    </xf>
    <xf numFmtId="49" fontId="7" fillId="7" borderId="70" xfId="10" applyNumberFormat="1" applyFont="1" applyFill="1" applyBorder="1" applyAlignment="1">
      <alignment horizontal="center" vertical="center" wrapText="1"/>
    </xf>
    <xf numFmtId="49" fontId="7" fillId="7" borderId="76" xfId="10" applyNumberFormat="1" applyFont="1" applyFill="1" applyBorder="1" applyAlignment="1">
      <alignment horizontal="center" vertical="center" wrapText="1"/>
    </xf>
    <xf numFmtId="10" fontId="18" fillId="0" borderId="52" xfId="10" applyNumberFormat="1" applyFont="1" applyFill="1" applyBorder="1" applyAlignment="1">
      <alignment horizontal="center" vertical="center" wrapText="1"/>
    </xf>
    <xf numFmtId="10" fontId="18" fillId="0" borderId="66" xfId="10" applyNumberFormat="1" applyFont="1" applyFill="1" applyBorder="1" applyAlignment="1">
      <alignment horizontal="center" vertical="center" wrapText="1"/>
    </xf>
    <xf numFmtId="10" fontId="18" fillId="0" borderId="30" xfId="10" applyNumberFormat="1" applyFont="1" applyFill="1" applyBorder="1" applyAlignment="1">
      <alignment horizontal="center" vertical="center" wrapText="1"/>
    </xf>
    <xf numFmtId="49" fontId="18" fillId="0" borderId="59" xfId="10" applyNumberFormat="1" applyFont="1" applyFill="1" applyBorder="1" applyAlignment="1">
      <alignment horizontal="center" vertical="center" wrapText="1"/>
    </xf>
    <xf numFmtId="49" fontId="18" fillId="0" borderId="67" xfId="10" applyNumberFormat="1" applyFont="1" applyFill="1" applyBorder="1" applyAlignment="1">
      <alignment horizontal="center" vertical="center" wrapText="1"/>
    </xf>
    <xf numFmtId="49" fontId="18" fillId="0" borderId="73" xfId="10" applyNumberFormat="1" applyFont="1" applyFill="1" applyBorder="1" applyAlignment="1">
      <alignment horizontal="center" vertical="center" wrapText="1"/>
    </xf>
    <xf numFmtId="49" fontId="7" fillId="8" borderId="60" xfId="10" applyNumberFormat="1" applyFont="1" applyFill="1" applyBorder="1" applyAlignment="1">
      <alignment horizontal="center" vertical="center" wrapText="1"/>
    </xf>
    <xf numFmtId="49" fontId="7" fillId="8" borderId="68" xfId="10" applyNumberFormat="1" applyFont="1" applyFill="1" applyBorder="1" applyAlignment="1">
      <alignment horizontal="center" vertical="center" wrapText="1"/>
    </xf>
    <xf numFmtId="49" fontId="7" fillId="8" borderId="74" xfId="10" applyNumberFormat="1" applyFont="1" applyFill="1" applyBorder="1" applyAlignment="1">
      <alignment horizontal="center" vertical="center" wrapText="1"/>
    </xf>
    <xf numFmtId="10" fontId="18" fillId="0" borderId="61" xfId="10" applyNumberFormat="1" applyFont="1" applyFill="1" applyBorder="1" applyAlignment="1">
      <alignment horizontal="center" vertical="center" wrapText="1"/>
    </xf>
    <xf numFmtId="10" fontId="18" fillId="0" borderId="69" xfId="10" applyNumberFormat="1" applyFont="1" applyFill="1" applyBorder="1" applyAlignment="1">
      <alignment horizontal="center" vertical="center" wrapText="1"/>
    </xf>
    <xf numFmtId="10" fontId="18" fillId="0" borderId="75" xfId="10" applyNumberFormat="1" applyFont="1" applyFill="1" applyBorder="1" applyAlignment="1">
      <alignment horizontal="center" vertical="center" wrapText="1"/>
    </xf>
    <xf numFmtId="0" fontId="5" fillId="6" borderId="22" xfId="11" applyFont="1" applyFill="1" applyBorder="1" applyAlignment="1">
      <alignment horizontal="left" vertical="center" wrapText="1"/>
    </xf>
    <xf numFmtId="0" fontId="5" fillId="6" borderId="23" xfId="11" applyFont="1" applyFill="1" applyBorder="1" applyAlignment="1">
      <alignment horizontal="left" vertical="center" wrapText="1"/>
    </xf>
    <xf numFmtId="0" fontId="5" fillId="6" borderId="20" xfId="10" applyFont="1" applyFill="1" applyBorder="1" applyAlignment="1">
      <alignment horizontal="left" vertical="center" wrapText="1"/>
    </xf>
    <xf numFmtId="0" fontId="5" fillId="6" borderId="14" xfId="10" applyFont="1" applyFill="1" applyBorder="1" applyAlignment="1">
      <alignment horizontal="left" vertical="center" wrapText="1"/>
    </xf>
    <xf numFmtId="0" fontId="6" fillId="6" borderId="0" xfId="10" applyFont="1" applyFill="1" applyBorder="1" applyAlignment="1">
      <alignment horizontal="center" vertical="center"/>
    </xf>
    <xf numFmtId="0" fontId="5" fillId="6" borderId="22" xfId="10" applyFont="1" applyFill="1" applyBorder="1" applyAlignment="1">
      <alignment horizontal="left" vertical="center" wrapText="1"/>
    </xf>
    <xf numFmtId="0" fontId="5" fillId="6" borderId="23" xfId="10" applyFont="1" applyFill="1" applyBorder="1" applyAlignment="1">
      <alignment horizontal="left" vertical="center" wrapText="1"/>
    </xf>
    <xf numFmtId="0" fontId="17" fillId="6" borderId="0" xfId="10" applyFont="1" applyFill="1" applyBorder="1" applyAlignment="1">
      <alignment horizontal="left" vertical="center"/>
    </xf>
    <xf numFmtId="0" fontId="5" fillId="0" borderId="5" xfId="10" applyFont="1" applyFill="1" applyBorder="1" applyAlignment="1">
      <alignment horizontal="center" vertical="center" textRotation="90" wrapText="1"/>
    </xf>
    <xf numFmtId="0" fontId="5" fillId="0" borderId="27" xfId="10" applyFont="1" applyFill="1" applyBorder="1" applyAlignment="1">
      <alignment horizontal="center" vertical="center" textRotation="90" wrapText="1"/>
    </xf>
    <xf numFmtId="0" fontId="5" fillId="0" borderId="55" xfId="10" applyFont="1" applyFill="1" applyBorder="1" applyAlignment="1">
      <alignment horizontal="center" vertical="center" textRotation="90" wrapText="1"/>
    </xf>
    <xf numFmtId="0" fontId="5" fillId="0" borderId="63" xfId="10" applyFont="1" applyFill="1" applyBorder="1" applyAlignment="1">
      <alignment horizontal="center" vertical="center" textRotation="90" wrapText="1"/>
    </xf>
    <xf numFmtId="0" fontId="5" fillId="0" borderId="56" xfId="10" applyFont="1" applyFill="1" applyBorder="1" applyAlignment="1">
      <alignment horizontal="center" vertical="center" wrapText="1"/>
    </xf>
    <xf numFmtId="0" fontId="5" fillId="0" borderId="57" xfId="10" applyFont="1" applyFill="1" applyBorder="1" applyAlignment="1">
      <alignment horizontal="center" vertical="center" wrapText="1"/>
    </xf>
    <xf numFmtId="0" fontId="5" fillId="0" borderId="58" xfId="10" applyFont="1" applyFill="1" applyBorder="1" applyAlignment="1">
      <alignment horizontal="center" vertical="center" wrapText="1"/>
    </xf>
    <xf numFmtId="0" fontId="5" fillId="0" borderId="64" xfId="10" applyFont="1" applyFill="1" applyBorder="1" applyAlignment="1">
      <alignment horizontal="center" vertical="center" wrapText="1"/>
    </xf>
    <xf numFmtId="0" fontId="5" fillId="0" borderId="0" xfId="10" applyFont="1" applyFill="1" applyBorder="1" applyAlignment="1">
      <alignment horizontal="center" vertical="center" wrapText="1"/>
    </xf>
    <xf numFmtId="0" fontId="5" fillId="0" borderId="65" xfId="10" applyFont="1" applyFill="1" applyBorder="1" applyAlignment="1">
      <alignment horizontal="center" vertical="center" wrapText="1"/>
    </xf>
    <xf numFmtId="0" fontId="5" fillId="0" borderId="71" xfId="10" applyFont="1" applyFill="1" applyBorder="1" applyAlignment="1">
      <alignment horizontal="center" vertical="center" wrapText="1"/>
    </xf>
    <xf numFmtId="0" fontId="5" fillId="0" borderId="72" xfId="10" applyFont="1" applyFill="1" applyBorder="1" applyAlignment="1">
      <alignment horizontal="center" vertical="center" wrapText="1"/>
    </xf>
    <xf numFmtId="0" fontId="5" fillId="0" borderId="29" xfId="10" applyFont="1" applyFill="1" applyBorder="1" applyAlignment="1">
      <alignment horizontal="center" vertical="center" wrapText="1"/>
    </xf>
    <xf numFmtId="49" fontId="5" fillId="0" borderId="10" xfId="10" applyNumberFormat="1" applyFont="1" applyFill="1" applyBorder="1" applyAlignment="1">
      <alignment horizontal="center" vertical="center" wrapText="1"/>
    </xf>
    <xf numFmtId="49" fontId="5" fillId="0" borderId="14" xfId="10" applyNumberFormat="1" applyFont="1" applyFill="1" applyBorder="1" applyAlignment="1">
      <alignment horizontal="center" vertical="center" wrapText="1"/>
    </xf>
    <xf numFmtId="49" fontId="5" fillId="0" borderId="23" xfId="10" applyNumberFormat="1" applyFont="1" applyFill="1" applyBorder="1" applyAlignment="1">
      <alignment horizontal="center" vertical="center" wrapText="1"/>
    </xf>
    <xf numFmtId="0" fontId="3" fillId="6" borderId="0" xfId="10" applyFont="1" applyFill="1" applyAlignment="1">
      <alignment horizontal="center" vertical="center" wrapText="1"/>
    </xf>
    <xf numFmtId="0" fontId="5" fillId="6" borderId="53" xfId="11" applyFont="1" applyFill="1" applyBorder="1" applyAlignment="1">
      <alignment horizontal="left" vertical="center" wrapText="1"/>
    </xf>
    <xf numFmtId="0" fontId="5" fillId="6" borderId="54" xfId="11" applyFont="1" applyFill="1" applyBorder="1" applyAlignment="1">
      <alignment horizontal="left" vertical="center" wrapText="1"/>
    </xf>
    <xf numFmtId="0" fontId="5" fillId="6" borderId="16" xfId="11" applyFont="1" applyFill="1" applyBorder="1" applyAlignment="1">
      <alignment horizontal="left" vertical="center" wrapText="1"/>
    </xf>
    <xf numFmtId="0" fontId="14" fillId="6" borderId="1" xfId="10" applyFont="1" applyFill="1" applyBorder="1" applyAlignment="1">
      <alignment horizontal="center" vertical="center"/>
    </xf>
    <xf numFmtId="0" fontId="14" fillId="6" borderId="2" xfId="10" applyFont="1" applyFill="1" applyBorder="1" applyAlignment="1">
      <alignment horizontal="center" vertical="center"/>
    </xf>
    <xf numFmtId="0" fontId="14" fillId="6" borderId="5" xfId="10" applyFont="1" applyFill="1" applyBorder="1" applyAlignment="1">
      <alignment horizontal="center" vertical="center"/>
    </xf>
    <xf numFmtId="0" fontId="14" fillId="6" borderId="52" xfId="10" applyFont="1" applyFill="1" applyBorder="1" applyAlignment="1">
      <alignment horizontal="center" vertical="center"/>
    </xf>
    <xf numFmtId="0" fontId="5" fillId="6" borderId="7" xfId="10" applyFont="1" applyFill="1" applyBorder="1" applyAlignment="1">
      <alignment horizontal="left" vertical="center" wrapText="1"/>
    </xf>
    <xf numFmtId="0" fontId="5" fillId="6" borderId="8" xfId="10" applyFont="1" applyFill="1" applyBorder="1" applyAlignment="1">
      <alignment horizontal="left" vertical="center" wrapText="1"/>
    </xf>
    <xf numFmtId="0" fontId="5" fillId="6" borderId="9" xfId="10" applyFont="1" applyFill="1" applyBorder="1" applyAlignment="1">
      <alignment horizontal="left" vertical="center" wrapText="1"/>
    </xf>
    <xf numFmtId="0" fontId="5" fillId="6" borderId="13" xfId="11" applyFont="1" applyFill="1" applyBorder="1" applyAlignment="1">
      <alignment horizontal="left" vertical="center" wrapText="1"/>
    </xf>
    <xf numFmtId="0" fontId="5" fillId="6" borderId="10" xfId="11" applyFont="1" applyFill="1" applyBorder="1" applyAlignment="1">
      <alignment horizontal="left" vertical="center" wrapText="1"/>
    </xf>
    <xf numFmtId="0" fontId="0" fillId="11" borderId="7" xfId="0" applyFill="1" applyBorder="1" applyAlignment="1">
      <alignment horizontal="center" vertical="center" wrapText="1"/>
    </xf>
    <xf numFmtId="0" fontId="0" fillId="11" borderId="39" xfId="0" applyFill="1" applyBorder="1" applyAlignment="1">
      <alignment horizontal="center" vertical="center" wrapText="1"/>
    </xf>
    <xf numFmtId="0" fontId="12" fillId="11" borderId="49" xfId="0" applyFont="1" applyFill="1" applyBorder="1" applyAlignment="1">
      <alignment horizontal="center" vertical="center" wrapText="1"/>
    </xf>
    <xf numFmtId="0" fontId="12" fillId="11" borderId="51" xfId="0" applyFont="1" applyFill="1" applyBorder="1" applyAlignment="1">
      <alignment horizontal="center" vertical="center" wrapText="1"/>
    </xf>
    <xf numFmtId="0" fontId="12" fillId="12" borderId="1" xfId="0" applyFont="1" applyFill="1" applyBorder="1" applyAlignment="1">
      <alignment horizontal="center"/>
    </xf>
    <xf numFmtId="0" fontId="12" fillId="12" borderId="4" xfId="0" applyFont="1" applyFill="1" applyBorder="1" applyAlignment="1">
      <alignment horizontal="center"/>
    </xf>
    <xf numFmtId="0" fontId="0" fillId="11" borderId="5" xfId="0" applyFill="1" applyBorder="1" applyAlignment="1">
      <alignment horizontal="center"/>
    </xf>
    <xf numFmtId="0" fontId="0" fillId="11" borderId="6" xfId="0" applyFill="1" applyBorder="1" applyAlignment="1">
      <alignment horizontal="center"/>
    </xf>
    <xf numFmtId="0" fontId="0" fillId="11" borderId="7" xfId="0" applyFill="1" applyBorder="1" applyAlignment="1">
      <alignment horizontal="center" vertical="center"/>
    </xf>
    <xf numFmtId="0" fontId="0" fillId="11" borderId="107" xfId="0" applyFill="1" applyBorder="1" applyAlignment="1">
      <alignment horizontal="center" vertical="center"/>
    </xf>
    <xf numFmtId="0" fontId="0" fillId="11" borderId="106" xfId="0" applyFill="1" applyBorder="1" applyAlignment="1">
      <alignment horizontal="center" vertical="center"/>
    </xf>
    <xf numFmtId="0" fontId="0" fillId="11" borderId="108" xfId="0" applyFill="1" applyBorder="1" applyAlignment="1">
      <alignment horizontal="center" vertical="center"/>
    </xf>
    <xf numFmtId="0" fontId="0" fillId="11" borderId="13"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12" fillId="13" borderId="1" xfId="0" applyFont="1" applyFill="1" applyBorder="1" applyAlignment="1">
      <alignment horizontal="center"/>
    </xf>
    <xf numFmtId="0" fontId="12" fillId="13" borderId="4" xfId="0" applyFont="1" applyFill="1" applyBorder="1" applyAlignment="1">
      <alignment horizontal="center"/>
    </xf>
    <xf numFmtId="0" fontId="0" fillId="11" borderId="8" xfId="0" applyFill="1" applyBorder="1" applyAlignment="1">
      <alignment horizontal="center" vertical="center" wrapText="1"/>
    </xf>
    <xf numFmtId="0" fontId="12" fillId="14" borderId="1" xfId="0" applyFont="1" applyFill="1" applyBorder="1" applyAlignment="1">
      <alignment horizontal="center"/>
    </xf>
    <xf numFmtId="0" fontId="12" fillId="14" borderId="4" xfId="0" applyFont="1" applyFill="1" applyBorder="1" applyAlignment="1">
      <alignment horizontal="center"/>
    </xf>
    <xf numFmtId="0" fontId="0" fillId="11" borderId="39" xfId="0" applyFill="1" applyBorder="1" applyAlignment="1">
      <alignment horizontal="center" vertical="center"/>
    </xf>
    <xf numFmtId="0" fontId="0" fillId="11" borderId="13" xfId="0" applyFill="1" applyBorder="1" applyAlignment="1">
      <alignment horizontal="center"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12" fillId="15" borderId="1" xfId="0" applyFont="1" applyFill="1" applyBorder="1" applyAlignment="1">
      <alignment horizontal="center"/>
    </xf>
    <xf numFmtId="0" fontId="12" fillId="15" borderId="4" xfId="0" applyFont="1" applyFill="1" applyBorder="1" applyAlignment="1">
      <alignment horizontal="center"/>
    </xf>
    <xf numFmtId="0" fontId="7" fillId="0" borderId="42" xfId="8" applyFont="1" applyBorder="1" applyAlignment="1">
      <alignment horizontal="center" vertical="center"/>
    </xf>
    <xf numFmtId="0" fontId="7" fillId="0" borderId="77" xfId="8" applyFont="1" applyBorder="1" applyAlignment="1">
      <alignment horizontal="center" vertical="center"/>
    </xf>
    <xf numFmtId="10" fontId="8" fillId="0" borderId="105" xfId="0" applyNumberFormat="1" applyFont="1" applyFill="1" applyBorder="1" applyAlignment="1">
      <alignment horizontal="center" vertical="center" wrapText="1"/>
    </xf>
    <xf numFmtId="10" fontId="8" fillId="0" borderId="78" xfId="0" applyNumberFormat="1" applyFont="1" applyFill="1" applyBorder="1" applyAlignment="1">
      <alignment horizontal="center" vertical="center" wrapText="1"/>
    </xf>
    <xf numFmtId="0" fontId="7" fillId="0" borderId="45" xfId="8" applyFont="1" applyBorder="1" applyAlignment="1">
      <alignment horizontal="center" vertical="center"/>
    </xf>
    <xf numFmtId="4" fontId="8" fillId="0" borderId="5" xfId="0" applyNumberFormat="1" applyFont="1" applyFill="1" applyBorder="1" applyAlignment="1">
      <alignment horizontal="center" vertical="center" wrapText="1"/>
    </xf>
    <xf numFmtId="4" fontId="8" fillId="0" borderId="38" xfId="0" applyNumberFormat="1" applyFont="1" applyFill="1" applyBorder="1" applyAlignment="1">
      <alignment horizontal="center" vertical="center" wrapText="1"/>
    </xf>
    <xf numFmtId="0" fontId="7" fillId="0" borderId="13" xfId="8" applyFont="1" applyFill="1" applyBorder="1" applyAlignment="1">
      <alignment horizontal="center" vertical="center" wrapText="1"/>
    </xf>
    <xf numFmtId="0" fontId="7" fillId="0" borderId="22" xfId="8" applyFont="1" applyFill="1" applyBorder="1" applyAlignment="1">
      <alignment horizontal="center" vertical="center" wrapText="1"/>
    </xf>
    <xf numFmtId="0" fontId="7" fillId="0" borderId="10" xfId="8" applyFont="1" applyFill="1" applyBorder="1" applyAlignment="1">
      <alignment horizontal="center" vertical="center"/>
    </xf>
    <xf numFmtId="0" fontId="7" fillId="0" borderId="23" xfId="8" applyFont="1" applyFill="1" applyBorder="1" applyAlignment="1">
      <alignment horizontal="center" vertical="center"/>
    </xf>
    <xf numFmtId="0" fontId="7" fillId="0" borderId="10" xfId="8" applyFont="1" applyFill="1" applyBorder="1" applyAlignment="1">
      <alignment horizontal="center" vertical="center" wrapText="1"/>
    </xf>
    <xf numFmtId="0" fontId="7" fillId="0" borderId="23" xfId="8" applyFont="1" applyFill="1" applyBorder="1" applyAlignment="1">
      <alignment horizontal="center" vertical="center" wrapText="1"/>
    </xf>
    <xf numFmtId="0" fontId="7" fillId="0" borderId="15" xfId="8" applyFont="1" applyFill="1" applyBorder="1" applyAlignment="1">
      <alignment horizontal="center" vertical="center"/>
    </xf>
    <xf numFmtId="0" fontId="7" fillId="0" borderId="26" xfId="8" applyFont="1" applyFill="1" applyBorder="1" applyAlignment="1">
      <alignment horizontal="center" vertical="center"/>
    </xf>
    <xf numFmtId="10" fontId="8" fillId="0" borderId="27" xfId="0" applyNumberFormat="1" applyFont="1" applyFill="1" applyBorder="1" applyAlignment="1">
      <alignment horizontal="center" vertical="center" wrapText="1"/>
    </xf>
    <xf numFmtId="10" fontId="8" fillId="0" borderId="38" xfId="0" applyNumberFormat="1" applyFont="1" applyFill="1" applyBorder="1" applyAlignment="1">
      <alignment horizontal="center" vertical="center" wrapText="1"/>
    </xf>
    <xf numFmtId="4" fontId="8" fillId="0" borderId="78" xfId="0" applyNumberFormat="1" applyFont="1" applyFill="1" applyBorder="1" applyAlignment="1">
      <alignment horizontal="center" vertical="center" wrapText="1"/>
    </xf>
    <xf numFmtId="4" fontId="8" fillId="0" borderId="65" xfId="0" applyNumberFormat="1" applyFont="1" applyFill="1" applyBorder="1" applyAlignment="1">
      <alignment horizontal="center" vertical="center" wrapText="1"/>
    </xf>
    <xf numFmtId="4" fontId="8" fillId="0" borderId="29" xfId="0" applyNumberFormat="1" applyFont="1" applyFill="1" applyBorder="1" applyAlignment="1">
      <alignment horizontal="center" vertical="center" wrapText="1"/>
    </xf>
    <xf numFmtId="4" fontId="8" fillId="0" borderId="66" xfId="0" applyNumberFormat="1"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27" xfId="0" applyNumberFormat="1" applyFont="1" applyFill="1" applyBorder="1" applyAlignment="1">
      <alignment horizontal="center" vertical="center" wrapText="1"/>
    </xf>
    <xf numFmtId="0" fontId="7" fillId="0" borderId="27" xfId="8" applyFont="1" applyFill="1" applyBorder="1" applyAlignment="1">
      <alignment horizontal="center" vertical="center" wrapText="1"/>
    </xf>
    <xf numFmtId="0" fontId="7" fillId="0" borderId="65" xfId="8" applyFont="1" applyFill="1" applyBorder="1" applyAlignment="1">
      <alignment horizontal="center" vertical="center"/>
    </xf>
    <xf numFmtId="0" fontId="7" fillId="0" borderId="78" xfId="8" applyFont="1" applyFill="1" applyBorder="1" applyAlignment="1">
      <alignment horizontal="center" vertical="center"/>
    </xf>
    <xf numFmtId="9" fontId="7" fillId="0" borderId="42" xfId="1" applyFont="1" applyFill="1" applyBorder="1" applyAlignment="1">
      <alignment horizontal="right" indent="2"/>
    </xf>
    <xf numFmtId="9" fontId="7" fillId="0" borderId="45" xfId="1" applyFont="1" applyFill="1" applyBorder="1" applyAlignment="1">
      <alignment horizontal="right" indent="2"/>
    </xf>
    <xf numFmtId="0" fontId="7" fillId="0" borderId="42" xfId="0" applyFont="1" applyFill="1" applyBorder="1" applyAlignment="1">
      <alignment horizontal="center"/>
    </xf>
    <xf numFmtId="0" fontId="7" fillId="0" borderId="77" xfId="0" applyFont="1" applyFill="1" applyBorder="1" applyAlignment="1">
      <alignment horizontal="center"/>
    </xf>
    <xf numFmtId="9" fontId="7" fillId="0" borderId="42" xfId="0" applyNumberFormat="1" applyFont="1" applyFill="1" applyBorder="1" applyAlignment="1">
      <alignment horizontal="right" indent="2"/>
    </xf>
    <xf numFmtId="9" fontId="7" fillId="0" borderId="45" xfId="0" applyNumberFormat="1" applyFont="1" applyFill="1" applyBorder="1" applyAlignment="1">
      <alignment horizontal="right" indent="2"/>
    </xf>
    <xf numFmtId="9" fontId="7" fillId="0" borderId="77" xfId="0" applyNumberFormat="1" applyFont="1" applyFill="1" applyBorder="1" applyAlignment="1">
      <alignment horizontal="right" indent="2"/>
    </xf>
    <xf numFmtId="0" fontId="12" fillId="0" borderId="1" xfId="0" applyFont="1" applyBorder="1" applyAlignment="1">
      <alignment horizontal="center"/>
    </xf>
    <xf numFmtId="0" fontId="12" fillId="0" borderId="4" xfId="0" applyFont="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13"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9" xfId="0" applyBorder="1" applyAlignment="1">
      <alignment horizontal="center"/>
    </xf>
    <xf numFmtId="0" fontId="0" fillId="0" borderId="13" xfId="0" applyBorder="1" applyAlignment="1">
      <alignment horizontal="center"/>
    </xf>
    <xf numFmtId="9" fontId="0" fillId="0" borderId="1" xfId="0" applyNumberFormat="1" applyBorder="1" applyAlignment="1">
      <alignment horizontal="right" indent="1"/>
    </xf>
    <xf numFmtId="9" fontId="0" fillId="0" borderId="3" xfId="0" applyNumberFormat="1" applyBorder="1" applyAlignment="1">
      <alignment horizontal="right" indent="1"/>
    </xf>
    <xf numFmtId="9" fontId="0" fillId="0" borderId="4" xfId="0" applyNumberFormat="1" applyBorder="1" applyAlignment="1">
      <alignment horizontal="right" indent="1"/>
    </xf>
    <xf numFmtId="0" fontId="0" fillId="0" borderId="44" xfId="0" applyBorder="1" applyAlignment="1">
      <alignment horizontal="center"/>
    </xf>
    <xf numFmtId="0" fontId="0" fillId="0" borderId="17" xfId="0" applyBorder="1" applyAlignment="1">
      <alignment horizontal="center"/>
    </xf>
    <xf numFmtId="0" fontId="0" fillId="0" borderId="43" xfId="0" applyBorder="1" applyAlignment="1">
      <alignment horizontal="center"/>
    </xf>
    <xf numFmtId="0" fontId="0" fillId="0" borderId="12" xfId="0" applyBorder="1" applyAlignment="1">
      <alignment horizont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wrapText="1"/>
    </xf>
    <xf numFmtId="0" fontId="0" fillId="0" borderId="15" xfId="0" applyBorder="1" applyAlignment="1">
      <alignment horizontal="center" wrapText="1"/>
    </xf>
    <xf numFmtId="0" fontId="12" fillId="0" borderId="71" xfId="0" applyFont="1" applyBorder="1" applyAlignment="1">
      <alignment horizontal="center"/>
    </xf>
    <xf numFmtId="0" fontId="12" fillId="0" borderId="72" xfId="0" applyFont="1" applyBorder="1" applyAlignment="1">
      <alignment horizontal="center"/>
    </xf>
    <xf numFmtId="0" fontId="12" fillId="0" borderId="109" xfId="0" applyFont="1" applyBorder="1" applyAlignment="1">
      <alignment horizontal="center"/>
    </xf>
    <xf numFmtId="0" fontId="0" fillId="0" borderId="33" xfId="0" applyBorder="1" applyAlignment="1">
      <alignment horizontal="center" vertical="center" wrapText="1"/>
    </xf>
    <xf numFmtId="0" fontId="0" fillId="0" borderId="10"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8" fillId="0" borderId="0" xfId="8" applyFont="1" applyAlignment="1">
      <alignment horizontal="left"/>
    </xf>
    <xf numFmtId="0" fontId="8" fillId="0" borderId="36" xfId="8" applyFont="1" applyBorder="1" applyAlignment="1">
      <alignment horizontal="center" vertical="center"/>
    </xf>
    <xf numFmtId="0" fontId="8" fillId="0" borderId="29" xfId="8" applyFont="1" applyBorder="1" applyAlignment="1">
      <alignment horizontal="center" vertical="center"/>
    </xf>
    <xf numFmtId="0" fontId="7" fillId="0" borderId="6" xfId="8" applyFont="1" applyBorder="1" applyAlignment="1">
      <alignment horizontal="center" vertical="center"/>
    </xf>
    <xf numFmtId="0" fontId="7" fillId="0" borderId="28" xfId="8" applyFont="1" applyBorder="1" applyAlignment="1">
      <alignment horizontal="center" vertical="center"/>
    </xf>
    <xf numFmtId="0" fontId="7" fillId="0" borderId="31" xfId="8" applyFont="1" applyBorder="1" applyAlignment="1">
      <alignment horizontal="center" vertical="center"/>
    </xf>
    <xf numFmtId="0" fontId="7" fillId="0" borderId="5" xfId="8" applyFont="1" applyBorder="1" applyAlignment="1">
      <alignment horizontal="center" vertical="center"/>
    </xf>
    <xf numFmtId="0" fontId="7" fillId="0" borderId="27" xfId="8" applyFont="1" applyBorder="1" applyAlignment="1">
      <alignment horizontal="center" vertical="center"/>
    </xf>
    <xf numFmtId="0" fontId="7" fillId="0" borderId="38" xfId="8" applyFont="1" applyBorder="1" applyAlignment="1">
      <alignment horizontal="center" vertical="center"/>
    </xf>
    <xf numFmtId="0" fontId="7" fillId="0" borderId="49" xfId="8" applyFont="1" applyBorder="1" applyAlignment="1">
      <alignment horizontal="center" vertical="center"/>
    </xf>
    <xf numFmtId="0" fontId="7" fillId="0" borderId="50" xfId="8" applyFont="1" applyBorder="1" applyAlignment="1">
      <alignment horizontal="center" vertical="center"/>
    </xf>
    <xf numFmtId="0" fontId="7" fillId="0" borderId="51" xfId="8" applyFont="1" applyBorder="1" applyAlignment="1">
      <alignment horizontal="center" vertical="center"/>
    </xf>
    <xf numFmtId="0" fontId="8" fillId="0" borderId="35" xfId="8" applyFont="1" applyBorder="1" applyAlignment="1">
      <alignment horizontal="center" vertical="center" wrapText="1"/>
    </xf>
    <xf numFmtId="0" fontId="8" fillId="0" borderId="63" xfId="8" applyFont="1" applyBorder="1" applyAlignment="1">
      <alignment horizontal="center" vertical="center" wrapText="1"/>
    </xf>
    <xf numFmtId="0" fontId="8" fillId="0" borderId="33"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4" xfId="8" applyFont="1" applyBorder="1" applyAlignment="1">
      <alignment horizontal="center" vertical="center" wrapText="1"/>
    </xf>
    <xf numFmtId="0" fontId="8" fillId="0" borderId="30" xfId="8" applyFont="1" applyBorder="1" applyAlignment="1">
      <alignment horizontal="center" vertical="center" wrapText="1"/>
    </xf>
    <xf numFmtId="0" fontId="8" fillId="0" borderId="34" xfId="8" applyFont="1" applyBorder="1" applyAlignment="1">
      <alignment horizontal="center" vertical="center"/>
    </xf>
    <xf numFmtId="0" fontId="8" fillId="0" borderId="30" xfId="8" applyFont="1" applyBorder="1" applyAlignment="1">
      <alignment horizontal="center" vertical="center"/>
    </xf>
    <xf numFmtId="0" fontId="7" fillId="0" borderId="9" xfId="8" applyFont="1" applyBorder="1" applyAlignment="1">
      <alignment horizontal="center"/>
    </xf>
    <xf numFmtId="0" fontId="7" fillId="0" borderId="10" xfId="8" applyFont="1" applyBorder="1" applyAlignment="1">
      <alignment horizontal="center"/>
    </xf>
    <xf numFmtId="0" fontId="7" fillId="0" borderId="11" xfId="8" applyFont="1" applyBorder="1" applyAlignment="1">
      <alignment horizontal="center"/>
    </xf>
    <xf numFmtId="0" fontId="7" fillId="0" borderId="13" xfId="8" applyFont="1" applyBorder="1" applyAlignment="1">
      <alignment horizontal="center"/>
    </xf>
    <xf numFmtId="0" fontId="7" fillId="0" borderId="15" xfId="8" applyFont="1" applyBorder="1" applyAlignment="1">
      <alignment horizontal="center"/>
    </xf>
    <xf numFmtId="0" fontId="8" fillId="0" borderId="37" xfId="8" applyFont="1" applyBorder="1" applyAlignment="1">
      <alignment horizontal="center" vertical="center"/>
    </xf>
    <xf numFmtId="0" fontId="8" fillId="0" borderId="31" xfId="8" applyFont="1" applyBorder="1" applyAlignment="1">
      <alignment horizontal="center" vertical="center"/>
    </xf>
    <xf numFmtId="0" fontId="8" fillId="0" borderId="33" xfId="8" applyFont="1" applyBorder="1" applyAlignment="1">
      <alignment horizontal="center" vertical="center"/>
    </xf>
    <xf numFmtId="0" fontId="8" fillId="0" borderId="38" xfId="8" applyFont="1" applyBorder="1" applyAlignment="1">
      <alignment horizontal="center" vertical="center"/>
    </xf>
    <xf numFmtId="0" fontId="8" fillId="0" borderId="35" xfId="8" applyFont="1" applyBorder="1" applyAlignment="1">
      <alignment horizontal="center" vertical="center"/>
    </xf>
    <xf numFmtId="0" fontId="8" fillId="0" borderId="32" xfId="8" applyFont="1" applyBorder="1" applyAlignment="1">
      <alignment horizontal="center" vertical="center"/>
    </xf>
    <xf numFmtId="0" fontId="7" fillId="0" borderId="56" xfId="8" applyFont="1" applyBorder="1" applyAlignment="1">
      <alignment horizontal="center"/>
    </xf>
    <xf numFmtId="0" fontId="7" fillId="0" borderId="57" xfId="8" applyFont="1" applyBorder="1" applyAlignment="1">
      <alignment horizontal="center"/>
    </xf>
    <xf numFmtId="0" fontId="7" fillId="0" borderId="105" xfId="8" applyFont="1" applyBorder="1" applyAlignment="1">
      <alignment horizontal="center"/>
    </xf>
    <xf numFmtId="0" fontId="3" fillId="0" borderId="0" xfId="5" applyFont="1" applyAlignment="1">
      <alignment horizontal="left" vertical="center"/>
    </xf>
    <xf numFmtId="0" fontId="5" fillId="0" borderId="56" xfId="12" applyFont="1" applyBorder="1" applyAlignment="1">
      <alignment horizontal="center" vertical="center"/>
    </xf>
    <xf numFmtId="0" fontId="5" fillId="0" borderId="71" xfId="12" applyFont="1" applyBorder="1" applyAlignment="1">
      <alignment horizontal="center" vertical="center"/>
    </xf>
    <xf numFmtId="0" fontId="44" fillId="0" borderId="6" xfId="12" applyFont="1" applyBorder="1" applyAlignment="1">
      <alignment horizontal="center" vertical="center"/>
    </xf>
    <xf numFmtId="0" fontId="44" fillId="0" borderId="31" xfId="12" applyFont="1" applyBorder="1" applyAlignment="1">
      <alignment horizontal="center" vertical="center"/>
    </xf>
    <xf numFmtId="0" fontId="44" fillId="0" borderId="6" xfId="12" applyFont="1" applyFill="1" applyBorder="1" applyAlignment="1">
      <alignment horizontal="center" vertical="center"/>
    </xf>
    <xf numFmtId="0" fontId="44" fillId="0" borderId="31" xfId="12" applyFont="1" applyFill="1" applyBorder="1" applyAlignment="1">
      <alignment horizontal="center" vertical="center"/>
    </xf>
    <xf numFmtId="0" fontId="38" fillId="0" borderId="15" xfId="5" applyFont="1" applyBorder="1" applyAlignment="1">
      <alignment horizontal="center" vertical="center" wrapText="1"/>
    </xf>
    <xf numFmtId="0" fontId="38" fillId="0" borderId="37" xfId="5" applyFont="1" applyBorder="1" applyAlignment="1">
      <alignment horizontal="center" vertical="center" wrapText="1"/>
    </xf>
    <xf numFmtId="0" fontId="44" fillId="0" borderId="71" xfId="5" applyFont="1" applyBorder="1" applyAlignment="1">
      <alignment horizontal="center" vertical="center"/>
    </xf>
    <xf numFmtId="0" fontId="44" fillId="0" borderId="29" xfId="5" applyFont="1" applyBorder="1" applyAlignment="1">
      <alignment horizontal="center" vertical="center"/>
    </xf>
    <xf numFmtId="0" fontId="38" fillId="0" borderId="21" xfId="5" applyFont="1" applyBorder="1" applyAlignment="1">
      <alignment horizontal="left" indent="1"/>
    </xf>
    <xf numFmtId="0" fontId="38" fillId="0" borderId="54" xfId="5" applyFont="1" applyBorder="1" applyAlignment="1">
      <alignment horizontal="left" indent="1"/>
    </xf>
    <xf numFmtId="0" fontId="38" fillId="0" borderId="16" xfId="5" applyFont="1" applyBorder="1" applyAlignment="1">
      <alignment horizontal="left" indent="1"/>
    </xf>
    <xf numFmtId="0" fontId="38" fillId="0" borderId="13" xfId="5" applyFont="1" applyBorder="1" applyAlignment="1">
      <alignment horizontal="center" vertical="center" wrapText="1"/>
    </xf>
    <xf numFmtId="0" fontId="38" fillId="0" borderId="33" xfId="5" applyFont="1" applyBorder="1" applyAlignment="1">
      <alignment horizontal="center" vertical="center" wrapText="1"/>
    </xf>
    <xf numFmtId="0" fontId="38" fillId="0" borderId="10" xfId="5" applyFont="1" applyBorder="1" applyAlignment="1">
      <alignment horizontal="center" vertical="center" wrapText="1"/>
    </xf>
    <xf numFmtId="0" fontId="38" fillId="0" borderId="34" xfId="5" applyFont="1" applyBorder="1" applyAlignment="1">
      <alignment horizontal="center" vertical="center" wrapText="1"/>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46" fillId="0" borderId="0" xfId="5" applyFont="1" applyAlignment="1">
      <alignment horizontal="left" vertical="center" wrapText="1"/>
    </xf>
    <xf numFmtId="0" fontId="12" fillId="0" borderId="42" xfId="0" applyFont="1" applyBorder="1" applyAlignment="1">
      <alignment horizontal="center"/>
    </xf>
    <xf numFmtId="0" fontId="12" fillId="0" borderId="77" xfId="0" applyFont="1" applyBorder="1" applyAlignment="1">
      <alignment horizontal="center"/>
    </xf>
    <xf numFmtId="0" fontId="7" fillId="0" borderId="42" xfId="5" applyFont="1" applyBorder="1" applyAlignment="1">
      <alignment horizontal="center" vertical="center"/>
    </xf>
    <xf numFmtId="0" fontId="7" fillId="0" borderId="45" xfId="5" applyFont="1" applyBorder="1" applyAlignment="1">
      <alignment horizontal="center" vertical="center"/>
    </xf>
    <xf numFmtId="0" fontId="47" fillId="0" borderId="0" xfId="5" applyFont="1" applyAlignment="1">
      <alignment horizontal="left" vertical="center" wrapText="1"/>
    </xf>
    <xf numFmtId="0" fontId="7" fillId="0" borderId="13" xfId="5" applyFont="1" applyBorder="1" applyAlignment="1">
      <alignment horizontal="center" vertical="center" wrapText="1"/>
    </xf>
    <xf numFmtId="0" fontId="7" fillId="0" borderId="22"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6" xfId="5" applyFont="1" applyBorder="1" applyAlignment="1">
      <alignment horizontal="center" vertical="center" wrapText="1"/>
    </xf>
    <xf numFmtId="0" fontId="7"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7" fillId="0" borderId="49"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5" xfId="8" applyFont="1" applyBorder="1" applyAlignment="1">
      <alignment horizontal="center" vertical="center" wrapText="1"/>
    </xf>
    <xf numFmtId="0" fontId="7" fillId="0" borderId="38" xfId="8" applyFont="1" applyBorder="1" applyAlignment="1">
      <alignment horizontal="center" vertical="center" wrapText="1"/>
    </xf>
    <xf numFmtId="0" fontId="7" fillId="0" borderId="6" xfId="8" applyFont="1" applyBorder="1" applyAlignment="1">
      <alignment horizontal="center" vertical="center" wrapText="1"/>
    </xf>
    <xf numFmtId="0" fontId="7" fillId="0" borderId="31" xfId="8" applyFont="1" applyBorder="1" applyAlignment="1">
      <alignment horizontal="center" vertical="center" wrapText="1"/>
    </xf>
    <xf numFmtId="0" fontId="7" fillId="0" borderId="7" xfId="8" applyFont="1" applyFill="1" applyBorder="1" applyAlignment="1">
      <alignment horizontal="center" vertical="center" wrapText="1"/>
    </xf>
    <xf numFmtId="0" fontId="7" fillId="0" borderId="8" xfId="8" applyFont="1" applyFill="1" applyBorder="1" applyAlignment="1">
      <alignment horizontal="center" vertical="center" wrapText="1"/>
    </xf>
    <xf numFmtId="0" fontId="7" fillId="0" borderId="49" xfId="8" applyFont="1" applyBorder="1" applyAlignment="1">
      <alignment horizontal="center" vertical="center" wrapText="1"/>
    </xf>
    <xf numFmtId="0" fontId="7" fillId="0" borderId="51" xfId="8" applyFont="1" applyBorder="1" applyAlignment="1">
      <alignment horizontal="center" vertical="center" wrapText="1"/>
    </xf>
  </cellXfs>
  <cellStyles count="14">
    <cellStyle name="Čárka 2" xfId="13" xr:uid="{00000000-0005-0000-0000-00003B000000}"/>
    <cellStyle name="Hypertextový odkaz" xfId="9" builtinId="8"/>
    <cellStyle name="Nadpis - excel" xfId="2" xr:uid="{00000000-0005-0000-0000-000001000000}"/>
    <cellStyle name="Normální" xfId="0" builtinId="0"/>
    <cellStyle name="Normální 10" xfId="3" xr:uid="{00000000-0005-0000-0000-000003000000}"/>
    <cellStyle name="Normální 11 2" xfId="8" xr:uid="{00000000-0005-0000-0000-000004000000}"/>
    <cellStyle name="normální 14 2 2" xfId="5" xr:uid="{00000000-0005-0000-0000-000005000000}"/>
    <cellStyle name="Normální 2" xfId="4" xr:uid="{00000000-0005-0000-0000-000006000000}"/>
    <cellStyle name="normální 2 5" xfId="6" xr:uid="{00000000-0005-0000-0000-000007000000}"/>
    <cellStyle name="normální_Tab.1-bilance PV" xfId="11" xr:uid="{00000000-0005-0000-0000-000008000000}"/>
    <cellStyle name="normální_Tabulka 1-Bilanční-návrh 13.1.04" xfId="10" xr:uid="{00000000-0005-0000-0000-000009000000}"/>
    <cellStyle name="normální_Ubyt a strav 2002" xfId="12" xr:uid="{00000000-0005-0000-0000-00000A000000}"/>
    <cellStyle name="Procenta" xfId="1" builtinId="5"/>
    <cellStyle name="Procenta 3 2" xfId="7" xr:uid="{00000000-0005-0000-0000-00000C000000}"/>
  </cellStyles>
  <dxfs count="0"/>
  <tableStyles count="0" defaultTableStyle="TableStyleMedium2" defaultPivotStyle="PivotStyleLight16"/>
  <colors>
    <mruColors>
      <color rgb="FF9BC2E6"/>
      <color rgb="FFF4B084"/>
      <color rgb="FFFFD966"/>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22412</xdr:colOff>
      <xdr:row>24</xdr:row>
      <xdr:rowOff>123265</xdr:rowOff>
    </xdr:from>
    <xdr:ext cx="184731" cy="264560"/>
    <xdr:sp macro="" textlink="">
      <xdr:nvSpPr>
        <xdr:cNvPr id="2" name="TextovéPole 1">
          <a:extLst>
            <a:ext uri="{FF2B5EF4-FFF2-40B4-BE49-F238E27FC236}">
              <a16:creationId xmlns:a16="http://schemas.microsoft.com/office/drawing/2014/main" id="{D8FBE59A-1B17-4AE4-BDF4-DC5D419B2103}"/>
            </a:ext>
          </a:extLst>
        </xdr:cNvPr>
        <xdr:cNvSpPr txBox="1"/>
      </xdr:nvSpPr>
      <xdr:spPr>
        <a:xfrm>
          <a:off x="5692588" y="4661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9</xdr:row>
      <xdr:rowOff>0</xdr:rowOff>
    </xdr:from>
    <xdr:ext cx="9525" cy="316624"/>
    <xdr:pic>
      <xdr:nvPicPr>
        <xdr:cNvPr id="2" name="Picture 1" descr="https://sims.ics.muni.cz/sims_is/img/bod.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xdr:row>
      <xdr:rowOff>0</xdr:rowOff>
    </xdr:from>
    <xdr:ext cx="9525" cy="316624"/>
    <xdr:pic>
      <xdr:nvPicPr>
        <xdr:cNvPr id="3" name="Picture 2" descr="https://sims.ics.muni.cz/sims_is/img/bod.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24"/>
  <sheetViews>
    <sheetView tabSelected="1" zoomScale="85" zoomScaleNormal="85" workbookViewId="0">
      <selection activeCell="E9" sqref="E9"/>
    </sheetView>
  </sheetViews>
  <sheetFormatPr defaultRowHeight="15" x14ac:dyDescent="0.25"/>
  <cols>
    <col min="1" max="1" width="6.28515625" customWidth="1"/>
    <col min="2" max="2" width="69.7109375" customWidth="1"/>
  </cols>
  <sheetData>
    <row r="1" spans="1:8" ht="27.75" x14ac:dyDescent="0.4">
      <c r="A1" s="601" t="s">
        <v>289</v>
      </c>
      <c r="B1" s="602"/>
      <c r="C1" s="602"/>
      <c r="D1" s="602"/>
      <c r="E1" s="602"/>
      <c r="F1" s="600"/>
      <c r="G1" s="600"/>
      <c r="H1" s="600"/>
    </row>
    <row r="2" spans="1:8" x14ac:dyDescent="0.25">
      <c r="A2" s="600"/>
      <c r="B2" s="600"/>
      <c r="C2" s="600"/>
      <c r="D2" s="600"/>
      <c r="E2" s="600"/>
      <c r="F2" s="600"/>
      <c r="G2" s="600"/>
      <c r="H2" s="600"/>
    </row>
    <row r="3" spans="1:8" x14ac:dyDescent="0.25">
      <c r="A3" s="603" t="s">
        <v>192</v>
      </c>
      <c r="C3" s="600"/>
      <c r="D3" s="600"/>
      <c r="E3" s="600"/>
      <c r="F3" s="600"/>
      <c r="G3" s="600"/>
      <c r="H3" s="600"/>
    </row>
    <row r="4" spans="1:8" x14ac:dyDescent="0.25">
      <c r="A4" s="604"/>
      <c r="B4" s="600"/>
      <c r="C4" s="600"/>
      <c r="D4" s="600"/>
      <c r="E4" s="600"/>
      <c r="F4" s="600"/>
      <c r="G4" s="600"/>
      <c r="H4" s="600"/>
    </row>
    <row r="5" spans="1:8" x14ac:dyDescent="0.25">
      <c r="A5" s="605">
        <v>1</v>
      </c>
      <c r="B5" s="711" t="s">
        <v>290</v>
      </c>
      <c r="C5" s="610"/>
      <c r="D5" s="600"/>
      <c r="E5" s="600"/>
      <c r="F5" s="600"/>
      <c r="G5" s="600"/>
      <c r="H5" s="600"/>
    </row>
    <row r="6" spans="1:8" s="859" customFormat="1" x14ac:dyDescent="0.25">
      <c r="A6" s="605">
        <v>2</v>
      </c>
      <c r="B6" s="711" t="s">
        <v>334</v>
      </c>
      <c r="C6" s="610"/>
    </row>
    <row r="7" spans="1:8" x14ac:dyDescent="0.25">
      <c r="A7" s="605" t="s">
        <v>201</v>
      </c>
      <c r="B7" s="711" t="s">
        <v>194</v>
      </c>
      <c r="C7" s="609"/>
      <c r="D7" s="600"/>
      <c r="E7" s="600"/>
      <c r="F7" s="600"/>
      <c r="G7" s="600"/>
      <c r="H7" s="600"/>
    </row>
    <row r="8" spans="1:8" x14ac:dyDescent="0.25">
      <c r="A8" s="605" t="s">
        <v>202</v>
      </c>
      <c r="B8" s="711" t="s">
        <v>195</v>
      </c>
      <c r="C8" s="609"/>
      <c r="D8" s="600"/>
      <c r="E8" s="600"/>
      <c r="F8" s="600"/>
      <c r="G8" s="600"/>
      <c r="H8" s="600"/>
    </row>
    <row r="9" spans="1:8" x14ac:dyDescent="0.25">
      <c r="A9" s="605" t="s">
        <v>203</v>
      </c>
      <c r="B9" s="711" t="s">
        <v>196</v>
      </c>
      <c r="C9" s="609"/>
      <c r="D9" s="600"/>
      <c r="E9" s="600"/>
      <c r="F9" s="600"/>
      <c r="G9" s="600"/>
      <c r="H9" s="600"/>
    </row>
    <row r="10" spans="1:8" x14ac:dyDescent="0.25">
      <c r="A10" s="605" t="s">
        <v>204</v>
      </c>
      <c r="B10" s="711" t="s">
        <v>197</v>
      </c>
      <c r="C10" s="606"/>
      <c r="D10" s="600"/>
      <c r="E10" s="600"/>
      <c r="F10" s="600"/>
      <c r="G10" s="600"/>
      <c r="H10" s="600"/>
    </row>
    <row r="11" spans="1:8" x14ac:dyDescent="0.25">
      <c r="A11" s="605" t="s">
        <v>205</v>
      </c>
      <c r="B11" s="712" t="s">
        <v>216</v>
      </c>
      <c r="C11" s="606"/>
      <c r="D11" s="600"/>
      <c r="E11" s="600"/>
      <c r="F11" s="600"/>
      <c r="G11" s="600"/>
      <c r="H11" s="600"/>
    </row>
    <row r="12" spans="1:8" x14ac:dyDescent="0.25">
      <c r="A12" s="605" t="s">
        <v>206</v>
      </c>
      <c r="B12" s="712" t="s">
        <v>198</v>
      </c>
      <c r="C12" s="606"/>
      <c r="D12" s="600"/>
      <c r="E12" s="600"/>
      <c r="F12" s="600"/>
      <c r="G12" s="600"/>
      <c r="H12" s="600"/>
    </row>
    <row r="13" spans="1:8" s="611" customFormat="1" x14ac:dyDescent="0.25">
      <c r="A13" s="605" t="s">
        <v>217</v>
      </c>
      <c r="B13" s="712" t="s">
        <v>199</v>
      </c>
      <c r="C13" s="606"/>
    </row>
    <row r="14" spans="1:8" s="611" customFormat="1" x14ac:dyDescent="0.25">
      <c r="A14" s="605" t="s">
        <v>218</v>
      </c>
      <c r="B14" s="712" t="s">
        <v>219</v>
      </c>
      <c r="C14" s="606"/>
    </row>
    <row r="15" spans="1:8" x14ac:dyDescent="0.25">
      <c r="A15" s="605">
        <v>4</v>
      </c>
      <c r="B15" s="712" t="s">
        <v>207</v>
      </c>
      <c r="C15" s="606"/>
      <c r="D15" s="600"/>
      <c r="E15" s="600"/>
      <c r="F15" s="600"/>
      <c r="G15" s="600"/>
      <c r="H15" s="600"/>
    </row>
    <row r="16" spans="1:8" x14ac:dyDescent="0.25">
      <c r="A16" s="607">
        <v>5</v>
      </c>
      <c r="B16" s="712" t="s">
        <v>97</v>
      </c>
      <c r="C16" s="609"/>
      <c r="D16" s="600"/>
      <c r="E16" s="600"/>
      <c r="F16" s="600"/>
      <c r="G16" s="600"/>
      <c r="H16" s="600"/>
    </row>
    <row r="17" spans="1:8" x14ac:dyDescent="0.25">
      <c r="A17" s="607">
        <v>6</v>
      </c>
      <c r="B17" s="712" t="s">
        <v>133</v>
      </c>
      <c r="C17" s="609"/>
      <c r="D17" s="600"/>
      <c r="E17" s="600"/>
      <c r="F17" s="600"/>
      <c r="G17" s="600"/>
      <c r="H17" s="600"/>
    </row>
    <row r="18" spans="1:8" x14ac:dyDescent="0.25">
      <c r="A18" s="605">
        <v>7</v>
      </c>
      <c r="B18" s="712" t="s">
        <v>103</v>
      </c>
      <c r="C18" s="609"/>
      <c r="D18" s="600"/>
      <c r="E18" s="600"/>
      <c r="F18" s="600"/>
      <c r="G18" s="600"/>
      <c r="H18" s="600"/>
    </row>
    <row r="19" spans="1:8" x14ac:dyDescent="0.25">
      <c r="A19" s="605">
        <v>8</v>
      </c>
      <c r="B19" s="711" t="s">
        <v>172</v>
      </c>
      <c r="C19" s="609"/>
      <c r="D19" s="600"/>
      <c r="E19" s="600"/>
      <c r="F19" s="600"/>
      <c r="G19" s="600"/>
      <c r="H19" s="600"/>
    </row>
    <row r="20" spans="1:8" x14ac:dyDescent="0.25">
      <c r="A20" s="605">
        <v>9</v>
      </c>
      <c r="B20" s="711" t="s">
        <v>189</v>
      </c>
      <c r="C20" s="608"/>
      <c r="D20" s="600"/>
      <c r="E20" s="600"/>
      <c r="F20" s="600"/>
      <c r="G20" s="600"/>
      <c r="H20" s="600"/>
    </row>
    <row r="21" spans="1:8" x14ac:dyDescent="0.25">
      <c r="A21" s="605" t="s">
        <v>220</v>
      </c>
      <c r="B21" s="711" t="s">
        <v>193</v>
      </c>
      <c r="C21" s="608"/>
      <c r="D21" s="600"/>
      <c r="E21" s="600"/>
      <c r="F21" s="600"/>
      <c r="G21" s="600"/>
      <c r="H21" s="600"/>
    </row>
    <row r="22" spans="1:8" x14ac:dyDescent="0.25">
      <c r="A22" s="605" t="s">
        <v>221</v>
      </c>
      <c r="B22" s="711" t="s">
        <v>200</v>
      </c>
      <c r="C22" s="608"/>
      <c r="D22" s="600"/>
      <c r="E22" s="600"/>
      <c r="F22" s="600"/>
      <c r="G22" s="600"/>
      <c r="H22" s="600"/>
    </row>
    <row r="23" spans="1:8" x14ac:dyDescent="0.25">
      <c r="A23" s="605"/>
      <c r="B23" s="606"/>
      <c r="C23" s="608"/>
      <c r="D23" s="600"/>
      <c r="E23" s="600"/>
      <c r="F23" s="600"/>
      <c r="G23" s="600"/>
      <c r="H23" s="600"/>
    </row>
    <row r="24" spans="1:8" x14ac:dyDescent="0.25">
      <c r="A24" s="605"/>
      <c r="B24" s="606"/>
      <c r="C24" s="606"/>
      <c r="D24" s="600"/>
      <c r="E24" s="600"/>
      <c r="F24" s="600"/>
      <c r="G24" s="600"/>
      <c r="H24" s="600"/>
    </row>
  </sheetData>
  <hyperlinks>
    <hyperlink ref="B5" location="'1 Bilance'!A1" display="Bilance zdrojů pro rozdělení příspěvku a dotací vysokým školám v roce 2021" xr:uid="{3BBAFBB5-07DC-4DD7-85C5-D55300EA62F4}"/>
    <hyperlink ref="B7" location="'2a Výkonová část segment 1'!A1" display="Výkonová část - segment 1" xr:uid="{42330568-A9FA-4D23-93AE-FF47AFDDCB1A}"/>
    <hyperlink ref="B8" location="'2b Výkonová část segment 2'!A1" display="Výkonová část - segment 2" xr:uid="{2FFC135B-878F-483F-BB19-5CCE9345D8F7}"/>
    <hyperlink ref="B9" location="'2c Výkonová část segment 3'!A1" display="Výkonová část - segment 3" xr:uid="{45B03F80-3B4D-4C12-B6BC-0A2F4C0EB18F}"/>
    <hyperlink ref="B10" location="'2d Výkonová část segment 4'!A1" display="Výkonová část - segment 4" xr:uid="{9B689671-7A30-4BB4-A05D-3BBFC7A32D19}"/>
    <hyperlink ref="B11" location="'3a Ukazatel P - lékařské fakult'!A1" display="Ukazatel P - Lékařské fakulty" xr:uid="{558D2358-A000-4AAE-934E-20B38AE4AE5E}"/>
    <hyperlink ref="B12" location="'3b Ukazatel P - Pedagog. fak.'!A1" display="Ukazatel P - Pedagogické fakulty" xr:uid="{22506269-CEE3-4D76-9AA1-518C5854D7B4}"/>
    <hyperlink ref="B13" location="'3c Ukazatel P - pedagogické SP'!A1" display="Ukazatel P - Pedagogické SP" xr:uid="{E43816B4-AEB2-4FE5-845E-D33B7812A47B}"/>
    <hyperlink ref="B14" location="'3d Ukazatel P - deficitní aprob'!A1" display="Ukazatel P - Deficitní aprobace" xr:uid="{E1ED6C8C-B9A7-49C5-860F-0EB79BCF84EB}"/>
    <hyperlink ref="B15" location="'4 RO I'!A1" display="Rozpočtový okruh I" xr:uid="{9714560D-C0C3-4213-8974-13DA47F6B714}"/>
    <hyperlink ref="B16" location="'5 Ukazatel C'!A1" display="Ukazatel C" xr:uid="{CBEA28DB-F5A1-466D-B683-079FF0974A8F}"/>
    <hyperlink ref="B17" location="'6 Ukazatel J'!A1" display="Ukazatel J" xr:uid="{088DED6F-9C35-4075-9BB0-5C2A6C4F2647}"/>
    <hyperlink ref="B18" location="'7 Ukazatel U'!A1" display="Ukazatel U" xr:uid="{3BDF37AA-13B1-4868-8127-3FFDB292E42F}"/>
    <hyperlink ref="B19" location="'8 Ukazatel I'!A1" display="Ukazatel I" xr:uid="{5C5FE5E6-1CD8-4D42-A717-7212CD38847E}"/>
    <hyperlink ref="B20" location="'9 Fond umělecké činnosti'!A1" display="Fond umělecké činnosti" xr:uid="{7BE4E29E-7127-47C7-AC07-99788BAC4C3D}"/>
    <hyperlink ref="B21" location="'10a Ukazatel F - U3V'!A1" display="Ukazatel F - U3V" xr:uid="{D0991906-6674-47B5-85BF-A5450A5EBE12}"/>
    <hyperlink ref="B22" location="'10b Ukazatel F - SSP'!A1" display="Ukazatel F - SSP " xr:uid="{8D1AB21D-2B79-4896-AA86-ACB590E4B405}"/>
    <hyperlink ref="B6" location="'2 Nastavení podílů segmentů'!A1" display="Nastavení podílů segmentů" xr:uid="{14E27E94-7E59-4EB3-9254-9433647CA01C}"/>
  </hyperlinks>
  <pageMargins left="0.70866141732283472" right="0.70866141732283472" top="0.78740157480314965" bottom="0.78740157480314965" header="0.31496062992125984" footer="0.31496062992125984"/>
  <pageSetup paperSize="9" scale="73" orientation="portrait" r:id="rId1"/>
  <headerFooter>
    <oddHeader xml:space="preserve">&amp;LČ. j.: 5674/2022-1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K92"/>
  <sheetViews>
    <sheetView zoomScale="85" zoomScaleNormal="85" workbookViewId="0">
      <selection activeCell="C2" sqref="C2"/>
    </sheetView>
  </sheetViews>
  <sheetFormatPr defaultRowHeight="15" x14ac:dyDescent="0.25"/>
  <cols>
    <col min="1" max="1" width="4.140625" style="534" customWidth="1"/>
    <col min="2" max="2" width="9.140625" style="534"/>
    <col min="3" max="3" width="51.140625" style="534" customWidth="1"/>
    <col min="4" max="4" width="28" style="534" bestFit="1" customWidth="1"/>
    <col min="5" max="8" width="28" style="534" customWidth="1"/>
    <col min="9" max="9" width="24.5703125" style="534" customWidth="1"/>
    <col min="10" max="10" width="9.140625" style="534"/>
    <col min="11" max="11" width="36.7109375" style="534" customWidth="1"/>
    <col min="12" max="16384" width="9.140625" style="534"/>
  </cols>
  <sheetData>
    <row r="1" spans="1:11" ht="27.75" x14ac:dyDescent="0.25">
      <c r="A1" s="327" t="s">
        <v>176</v>
      </c>
    </row>
    <row r="2" spans="1:11" ht="15.75" customHeight="1" x14ac:dyDescent="0.25">
      <c r="A2" s="327"/>
      <c r="B2" s="595" t="s">
        <v>191</v>
      </c>
    </row>
    <row r="3" spans="1:11" ht="15.75" customHeight="1" x14ac:dyDescent="0.25">
      <c r="A3" s="327"/>
    </row>
    <row r="4" spans="1:11" ht="15.75" customHeight="1" x14ac:dyDescent="0.25">
      <c r="A4" s="327"/>
    </row>
    <row r="5" spans="1:11" ht="15.75" customHeight="1" x14ac:dyDescent="0.25">
      <c r="A5" s="327"/>
      <c r="C5" s="596" t="s">
        <v>315</v>
      </c>
      <c r="D5" s="597">
        <v>85000000</v>
      </c>
      <c r="E5" s="598" t="s">
        <v>34</v>
      </c>
    </row>
    <row r="6" spans="1:11" ht="15.75" customHeight="1" thickBot="1" x14ac:dyDescent="0.3">
      <c r="A6" s="327"/>
    </row>
    <row r="7" spans="1:11" ht="15.75" thickBot="1" x14ac:dyDescent="0.3">
      <c r="D7" s="1089">
        <v>0.4</v>
      </c>
      <c r="E7" s="1090"/>
      <c r="F7" s="1089">
        <v>0.6</v>
      </c>
      <c r="G7" s="1091"/>
    </row>
    <row r="8" spans="1:11" x14ac:dyDescent="0.25">
      <c r="B8" s="1083" t="s">
        <v>2</v>
      </c>
      <c r="C8" s="1085" t="s">
        <v>3</v>
      </c>
      <c r="D8" s="1092" t="s">
        <v>177</v>
      </c>
      <c r="E8" s="1093"/>
      <c r="F8" s="1094" t="s">
        <v>178</v>
      </c>
      <c r="G8" s="1095"/>
      <c r="H8" s="1081" t="s">
        <v>28</v>
      </c>
      <c r="I8" s="1082"/>
    </row>
    <row r="9" spans="1:11" ht="34.5" customHeight="1" thickBot="1" x14ac:dyDescent="0.3">
      <c r="B9" s="1084"/>
      <c r="C9" s="1086"/>
      <c r="D9" s="553" t="s">
        <v>179</v>
      </c>
      <c r="E9" s="554" t="s">
        <v>143</v>
      </c>
      <c r="F9" s="555" t="s">
        <v>179</v>
      </c>
      <c r="G9" s="556" t="s">
        <v>143</v>
      </c>
      <c r="H9" s="554" t="s">
        <v>143</v>
      </c>
      <c r="I9" s="556" t="s">
        <v>145</v>
      </c>
    </row>
    <row r="10" spans="1:11" x14ac:dyDescent="0.25">
      <c r="B10" s="557">
        <v>11000</v>
      </c>
      <c r="C10" s="558" t="s">
        <v>4</v>
      </c>
      <c r="D10" s="559"/>
      <c r="E10" s="560">
        <f>0.5*E31+0.3*E52+0.2*E73</f>
        <v>0.18342945324889348</v>
      </c>
      <c r="F10" s="561"/>
      <c r="G10" s="562">
        <f t="shared" ref="G10:G25" si="0">0.5*G31+0.3*G52+0.2*G73</f>
        <v>0.15806339950609916</v>
      </c>
      <c r="H10" s="563">
        <f>$D$7*E10+$F$7*G10</f>
        <v>0.16820982100321688</v>
      </c>
      <c r="I10" s="564">
        <f>ROUND(H10*$D$5,0)</f>
        <v>14297835</v>
      </c>
      <c r="K10" s="705"/>
    </row>
    <row r="11" spans="1:11" x14ac:dyDescent="0.25">
      <c r="B11" s="565">
        <v>12000</v>
      </c>
      <c r="C11" s="566" t="s">
        <v>5</v>
      </c>
      <c r="D11" s="567"/>
      <c r="E11" s="568">
        <f t="shared" ref="E11:E25" si="1">0.5*E32+0.3*E53+0.2*E74</f>
        <v>6.140954169633088E-2</v>
      </c>
      <c r="F11" s="509"/>
      <c r="G11" s="510">
        <f t="shared" si="0"/>
        <v>7.926613604134726E-2</v>
      </c>
      <c r="H11" s="569">
        <f t="shared" ref="H11:H25" si="2">$D$7*E11+$F$7*G11</f>
        <v>7.2123498303340708E-2</v>
      </c>
      <c r="I11" s="507">
        <f t="shared" ref="I11:I25" si="3">ROUND(H11*$D$5,0)</f>
        <v>6130497</v>
      </c>
      <c r="K11" s="705"/>
    </row>
    <row r="12" spans="1:11" x14ac:dyDescent="0.25">
      <c r="B12" s="565">
        <v>13000</v>
      </c>
      <c r="C12" s="566" t="s">
        <v>6</v>
      </c>
      <c r="D12" s="567"/>
      <c r="E12" s="568">
        <f t="shared" si="1"/>
        <v>6.0591482486897642E-2</v>
      </c>
      <c r="F12" s="509"/>
      <c r="G12" s="510">
        <f t="shared" si="0"/>
        <v>5.6436375059338205E-2</v>
      </c>
      <c r="H12" s="569">
        <f t="shared" si="2"/>
        <v>5.8098418030361976E-2</v>
      </c>
      <c r="I12" s="507">
        <f>ROUND(H12*$D$5,0)</f>
        <v>4938366</v>
      </c>
      <c r="K12" s="705"/>
    </row>
    <row r="13" spans="1:11" x14ac:dyDescent="0.25">
      <c r="B13" s="565">
        <v>14000</v>
      </c>
      <c r="C13" s="566" t="s">
        <v>7</v>
      </c>
      <c r="D13" s="567"/>
      <c r="E13" s="568">
        <f t="shared" si="1"/>
        <v>0.17461075926816003</v>
      </c>
      <c r="F13" s="509"/>
      <c r="G13" s="510">
        <f t="shared" si="0"/>
        <v>0.21434833582616075</v>
      </c>
      <c r="H13" s="569">
        <f t="shared" si="2"/>
        <v>0.19845330520296045</v>
      </c>
      <c r="I13" s="507">
        <f t="shared" si="3"/>
        <v>16868531</v>
      </c>
      <c r="K13" s="705"/>
    </row>
    <row r="14" spans="1:11" x14ac:dyDescent="0.25">
      <c r="B14" s="565">
        <v>15000</v>
      </c>
      <c r="C14" s="566" t="s">
        <v>8</v>
      </c>
      <c r="D14" s="567"/>
      <c r="E14" s="568">
        <f t="shared" si="1"/>
        <v>0.19876281904850021</v>
      </c>
      <c r="F14" s="509"/>
      <c r="G14" s="510">
        <f t="shared" si="0"/>
        <v>0.16607641465296147</v>
      </c>
      <c r="H14" s="569">
        <f t="shared" si="2"/>
        <v>0.17915097641117697</v>
      </c>
      <c r="I14" s="507">
        <f t="shared" si="3"/>
        <v>15227833</v>
      </c>
      <c r="K14" s="705"/>
    </row>
    <row r="15" spans="1:11" x14ac:dyDescent="0.25">
      <c r="B15" s="565">
        <v>17000</v>
      </c>
      <c r="C15" s="566" t="s">
        <v>9</v>
      </c>
      <c r="D15" s="567"/>
      <c r="E15" s="568">
        <f t="shared" si="1"/>
        <v>6.8221929979492807E-2</v>
      </c>
      <c r="F15" s="509"/>
      <c r="G15" s="510">
        <f t="shared" si="0"/>
        <v>7.7933230955179039E-2</v>
      </c>
      <c r="H15" s="569">
        <f t="shared" si="2"/>
        <v>7.4048710564904544E-2</v>
      </c>
      <c r="I15" s="507">
        <f t="shared" si="3"/>
        <v>6294140</v>
      </c>
      <c r="K15" s="705"/>
    </row>
    <row r="16" spans="1:11" x14ac:dyDescent="0.25">
      <c r="B16" s="565">
        <v>18000</v>
      </c>
      <c r="C16" s="566" t="s">
        <v>10</v>
      </c>
      <c r="D16" s="567"/>
      <c r="E16" s="568">
        <f t="shared" si="1"/>
        <v>7.7128757105770995E-2</v>
      </c>
      <c r="F16" s="509"/>
      <c r="G16" s="510">
        <f t="shared" si="0"/>
        <v>7.6547975390151832E-2</v>
      </c>
      <c r="H16" s="569">
        <f t="shared" si="2"/>
        <v>7.67802880763995E-2</v>
      </c>
      <c r="I16" s="507">
        <f>ROUND(H16*$D$5+0.1,0)</f>
        <v>6526325</v>
      </c>
      <c r="K16" s="705"/>
    </row>
    <row r="17" spans="2:11" x14ac:dyDescent="0.25">
      <c r="B17" s="565">
        <v>19000</v>
      </c>
      <c r="C17" s="566" t="s">
        <v>11</v>
      </c>
      <c r="D17" s="567"/>
      <c r="E17" s="568">
        <f t="shared" si="1"/>
        <v>1.1671008409640171E-2</v>
      </c>
      <c r="F17" s="509"/>
      <c r="G17" s="510">
        <f t="shared" si="0"/>
        <v>8.0104465294044691E-3</v>
      </c>
      <c r="H17" s="569">
        <f t="shared" si="2"/>
        <v>9.4746712814987484E-3</v>
      </c>
      <c r="I17" s="507">
        <f t="shared" si="3"/>
        <v>805347</v>
      </c>
      <c r="K17" s="705"/>
    </row>
    <row r="18" spans="2:11" x14ac:dyDescent="0.25">
      <c r="B18" s="565">
        <v>21000</v>
      </c>
      <c r="C18" s="566" t="s">
        <v>12</v>
      </c>
      <c r="D18" s="567"/>
      <c r="E18" s="568">
        <f t="shared" si="1"/>
        <v>4.9314087186013867E-3</v>
      </c>
      <c r="F18" s="509"/>
      <c r="G18" s="510">
        <f t="shared" si="0"/>
        <v>7.6405740491440992E-3</v>
      </c>
      <c r="H18" s="569">
        <f t="shared" si="2"/>
        <v>6.5569079169270142E-3</v>
      </c>
      <c r="I18" s="507">
        <f t="shared" si="3"/>
        <v>557337</v>
      </c>
      <c r="K18" s="705"/>
    </row>
    <row r="19" spans="2:11" x14ac:dyDescent="0.25">
      <c r="B19" s="565">
        <v>22000</v>
      </c>
      <c r="C19" s="566" t="s">
        <v>13</v>
      </c>
      <c r="D19" s="567"/>
      <c r="E19" s="568">
        <f t="shared" si="1"/>
        <v>2.8448392650173902E-4</v>
      </c>
      <c r="F19" s="509"/>
      <c r="G19" s="510">
        <f t="shared" si="0"/>
        <v>1.0468696218279951E-3</v>
      </c>
      <c r="H19" s="569">
        <f t="shared" si="2"/>
        <v>7.4191534369749267E-4</v>
      </c>
      <c r="I19" s="507">
        <f t="shared" si="3"/>
        <v>63063</v>
      </c>
      <c r="K19" s="705"/>
    </row>
    <row r="20" spans="2:11" x14ac:dyDescent="0.25">
      <c r="B20" s="565">
        <v>23000</v>
      </c>
      <c r="C20" s="566" t="s">
        <v>14</v>
      </c>
      <c r="D20" s="567"/>
      <c r="E20" s="568">
        <f t="shared" si="1"/>
        <v>5.152147807908599E-2</v>
      </c>
      <c r="F20" s="509"/>
      <c r="G20" s="510">
        <f t="shared" si="0"/>
        <v>4.3624136748633524E-2</v>
      </c>
      <c r="H20" s="569">
        <f t="shared" si="2"/>
        <v>4.6783073280814512E-2</v>
      </c>
      <c r="I20" s="507">
        <f t="shared" si="3"/>
        <v>3976561</v>
      </c>
      <c r="K20" s="705"/>
    </row>
    <row r="21" spans="2:11" x14ac:dyDescent="0.25">
      <c r="B21" s="565">
        <v>24000</v>
      </c>
      <c r="C21" s="566" t="s">
        <v>15</v>
      </c>
      <c r="D21" s="567"/>
      <c r="E21" s="568">
        <f t="shared" si="1"/>
        <v>5.0702788990378819E-2</v>
      </c>
      <c r="F21" s="509"/>
      <c r="G21" s="510">
        <f t="shared" si="0"/>
        <v>3.3211377166535432E-2</v>
      </c>
      <c r="H21" s="569">
        <f t="shared" si="2"/>
        <v>4.0207941896072789E-2</v>
      </c>
      <c r="I21" s="507">
        <f t="shared" si="3"/>
        <v>3417675</v>
      </c>
      <c r="K21" s="705"/>
    </row>
    <row r="22" spans="2:11" x14ac:dyDescent="0.25">
      <c r="B22" s="565">
        <v>25000</v>
      </c>
      <c r="C22" s="566" t="s">
        <v>16</v>
      </c>
      <c r="D22" s="567"/>
      <c r="E22" s="568">
        <f t="shared" si="1"/>
        <v>3.7553461338208126E-3</v>
      </c>
      <c r="F22" s="509"/>
      <c r="G22" s="510">
        <f t="shared" si="0"/>
        <v>6.5556511694192625E-3</v>
      </c>
      <c r="H22" s="569">
        <f t="shared" si="2"/>
        <v>5.4355291551798825E-3</v>
      </c>
      <c r="I22" s="507">
        <f t="shared" si="3"/>
        <v>462020</v>
      </c>
      <c r="K22" s="705"/>
    </row>
    <row r="23" spans="2:11" x14ac:dyDescent="0.25">
      <c r="B23" s="565">
        <v>28000</v>
      </c>
      <c r="C23" s="566" t="s">
        <v>19</v>
      </c>
      <c r="D23" s="567"/>
      <c r="E23" s="568">
        <f t="shared" si="1"/>
        <v>3.543042769627254E-2</v>
      </c>
      <c r="F23" s="509"/>
      <c r="G23" s="510">
        <f t="shared" si="0"/>
        <v>4.490883819171762E-2</v>
      </c>
      <c r="H23" s="569">
        <f t="shared" si="2"/>
        <v>4.1117473993539586E-2</v>
      </c>
      <c r="I23" s="507">
        <f>ROUND(H23*$D$5-0.1,0)</f>
        <v>3494985</v>
      </c>
      <c r="K23" s="705"/>
    </row>
    <row r="24" spans="2:11" x14ac:dyDescent="0.25">
      <c r="B24" s="565">
        <v>41000</v>
      </c>
      <c r="C24" s="566" t="s">
        <v>21</v>
      </c>
      <c r="D24" s="567"/>
      <c r="E24" s="568">
        <f t="shared" si="1"/>
        <v>1.0553466821700611E-2</v>
      </c>
      <c r="F24" s="509"/>
      <c r="G24" s="510">
        <f t="shared" si="0"/>
        <v>1.6716804429262384E-2</v>
      </c>
      <c r="H24" s="569">
        <f t="shared" si="2"/>
        <v>1.4251469386237673E-2</v>
      </c>
      <c r="I24" s="507">
        <f t="shared" si="3"/>
        <v>1211375</v>
      </c>
      <c r="K24" s="705"/>
    </row>
    <row r="25" spans="2:11" ht="15.75" thickBot="1" x14ac:dyDescent="0.3">
      <c r="B25" s="570">
        <v>43000</v>
      </c>
      <c r="C25" s="571" t="s">
        <v>22</v>
      </c>
      <c r="D25" s="572"/>
      <c r="E25" s="573">
        <f t="shared" si="1"/>
        <v>6.9948483899519047E-3</v>
      </c>
      <c r="F25" s="574"/>
      <c r="G25" s="575">
        <f t="shared" si="0"/>
        <v>9.6134346628175462E-3</v>
      </c>
      <c r="H25" s="576">
        <f t="shared" si="2"/>
        <v>8.5660001536712899E-3</v>
      </c>
      <c r="I25" s="577">
        <f t="shared" si="3"/>
        <v>728110</v>
      </c>
      <c r="K25" s="705"/>
    </row>
    <row r="26" spans="2:11" ht="15.75" thickBot="1" x14ac:dyDescent="0.3">
      <c r="B26" s="1079" t="s">
        <v>127</v>
      </c>
      <c r="C26" s="1080"/>
      <c r="D26" s="578">
        <f t="shared" ref="D26:I26" si="4">SUM(D10:D25)</f>
        <v>0</v>
      </c>
      <c r="E26" s="579">
        <f t="shared" si="4"/>
        <v>1.0000000000000002</v>
      </c>
      <c r="F26" s="580">
        <f t="shared" si="4"/>
        <v>0</v>
      </c>
      <c r="G26" s="581">
        <f t="shared" si="4"/>
        <v>0.99999999999999989</v>
      </c>
      <c r="H26" s="579">
        <f t="shared" si="4"/>
        <v>1</v>
      </c>
      <c r="I26" s="582">
        <f t="shared" si="4"/>
        <v>85000000</v>
      </c>
    </row>
    <row r="27" spans="2:11" x14ac:dyDescent="0.25">
      <c r="B27" s="451" t="s">
        <v>190</v>
      </c>
    </row>
    <row r="28" spans="2:11" s="859" customFormat="1" ht="15.75" thickBot="1" x14ac:dyDescent="0.3">
      <c r="B28" s="859" t="s">
        <v>312</v>
      </c>
    </row>
    <row r="29" spans="2:11" s="859" customFormat="1" x14ac:dyDescent="0.25">
      <c r="B29" s="1083" t="s">
        <v>2</v>
      </c>
      <c r="C29" s="1085" t="s">
        <v>3</v>
      </c>
      <c r="D29" s="1087" t="s">
        <v>316</v>
      </c>
      <c r="E29" s="1081"/>
      <c r="F29" s="1088" t="s">
        <v>317</v>
      </c>
      <c r="G29" s="1082"/>
    </row>
    <row r="30" spans="2:11" s="859" customFormat="1" ht="15.75" thickBot="1" x14ac:dyDescent="0.3">
      <c r="B30" s="1084"/>
      <c r="C30" s="1086"/>
      <c r="D30" s="553" t="s">
        <v>179</v>
      </c>
      <c r="E30" s="554" t="s">
        <v>143</v>
      </c>
      <c r="F30" s="868" t="s">
        <v>179</v>
      </c>
      <c r="G30" s="869" t="s">
        <v>143</v>
      </c>
    </row>
    <row r="31" spans="2:11" s="859" customFormat="1" x14ac:dyDescent="0.25">
      <c r="B31" s="870">
        <v>11000</v>
      </c>
      <c r="C31" s="558" t="s">
        <v>4</v>
      </c>
      <c r="D31" s="559">
        <v>6532</v>
      </c>
      <c r="E31" s="560">
        <f>D31/$D$47</f>
        <v>0.1838213567096765</v>
      </c>
      <c r="F31" s="561">
        <v>1085</v>
      </c>
      <c r="G31" s="562">
        <f>F31/$F$47</f>
        <v>0.16323153302241614</v>
      </c>
    </row>
    <row r="32" spans="2:11" s="859" customFormat="1" x14ac:dyDescent="0.25">
      <c r="B32" s="565">
        <v>12000</v>
      </c>
      <c r="C32" s="566" t="s">
        <v>5</v>
      </c>
      <c r="D32" s="567">
        <v>2240.5</v>
      </c>
      <c r="E32" s="568">
        <f t="shared" ref="E32:E46" si="5">D32/$D$47</f>
        <v>6.3051400751382464E-2</v>
      </c>
      <c r="F32" s="509">
        <v>519</v>
      </c>
      <c r="G32" s="510">
        <f t="shared" ref="G32:G46" si="6">F32/$F$47</f>
        <v>7.8080336994132693E-2</v>
      </c>
    </row>
    <row r="33" spans="2:7" s="859" customFormat="1" x14ac:dyDescent="0.25">
      <c r="B33" s="565">
        <v>13000</v>
      </c>
      <c r="C33" s="566" t="s">
        <v>6</v>
      </c>
      <c r="D33" s="567">
        <v>2154</v>
      </c>
      <c r="E33" s="568">
        <f t="shared" si="5"/>
        <v>6.0617146716571223E-2</v>
      </c>
      <c r="F33" s="509">
        <v>324</v>
      </c>
      <c r="G33" s="510">
        <f t="shared" si="6"/>
        <v>4.8743794192868964E-2</v>
      </c>
    </row>
    <row r="34" spans="2:7" s="859" customFormat="1" x14ac:dyDescent="0.25">
      <c r="B34" s="565">
        <v>14000</v>
      </c>
      <c r="C34" s="566" t="s">
        <v>7</v>
      </c>
      <c r="D34" s="567">
        <v>6034.5</v>
      </c>
      <c r="E34" s="568">
        <f t="shared" si="5"/>
        <v>0.1698208783013691</v>
      </c>
      <c r="F34" s="509">
        <v>1423</v>
      </c>
      <c r="G34" s="510">
        <f t="shared" si="6"/>
        <v>0.2140815405446066</v>
      </c>
    </row>
    <row r="35" spans="2:7" s="859" customFormat="1" x14ac:dyDescent="0.25">
      <c r="B35" s="565">
        <v>15000</v>
      </c>
      <c r="C35" s="566" t="s">
        <v>8</v>
      </c>
      <c r="D35" s="567">
        <v>7236.5</v>
      </c>
      <c r="E35" s="568">
        <f t="shared" si="5"/>
        <v>0.20364715980244552</v>
      </c>
      <c r="F35" s="509">
        <v>1138</v>
      </c>
      <c r="G35" s="510">
        <f t="shared" si="6"/>
        <v>0.17120505491199037</v>
      </c>
    </row>
    <row r="36" spans="2:7" s="859" customFormat="1" x14ac:dyDescent="0.25">
      <c r="B36" s="565">
        <v>17000</v>
      </c>
      <c r="C36" s="566" t="s">
        <v>9</v>
      </c>
      <c r="D36" s="567">
        <v>2419.5</v>
      </c>
      <c r="E36" s="568">
        <f t="shared" si="5"/>
        <v>6.8088758811858899E-2</v>
      </c>
      <c r="F36" s="509">
        <v>527</v>
      </c>
      <c r="G36" s="510">
        <f t="shared" si="6"/>
        <v>7.9283887468030695E-2</v>
      </c>
    </row>
    <row r="37" spans="2:7" s="859" customFormat="1" x14ac:dyDescent="0.25">
      <c r="B37" s="565">
        <v>18000</v>
      </c>
      <c r="C37" s="566" t="s">
        <v>10</v>
      </c>
      <c r="D37" s="567">
        <v>2703</v>
      </c>
      <c r="E37" s="568">
        <f t="shared" si="5"/>
        <v>7.6066920879708455E-2</v>
      </c>
      <c r="F37" s="509">
        <v>494</v>
      </c>
      <c r="G37" s="510">
        <f t="shared" si="6"/>
        <v>7.4319241763201441E-2</v>
      </c>
    </row>
    <row r="38" spans="2:7" s="859" customFormat="1" x14ac:dyDescent="0.25">
      <c r="B38" s="565">
        <v>19000</v>
      </c>
      <c r="C38" s="566" t="s">
        <v>11</v>
      </c>
      <c r="D38" s="567">
        <v>395</v>
      </c>
      <c r="E38" s="568">
        <f t="shared" si="5"/>
        <v>1.1115957731218956E-2</v>
      </c>
      <c r="F38" s="509">
        <v>51</v>
      </c>
      <c r="G38" s="510">
        <f t="shared" si="6"/>
        <v>7.6726342710997444E-3</v>
      </c>
    </row>
    <row r="39" spans="2:7" s="859" customFormat="1" x14ac:dyDescent="0.25">
      <c r="B39" s="565">
        <v>21000</v>
      </c>
      <c r="C39" s="566" t="s">
        <v>12</v>
      </c>
      <c r="D39" s="567">
        <v>153.5</v>
      </c>
      <c r="E39" s="568">
        <f t="shared" si="5"/>
        <v>4.3197455993471134E-3</v>
      </c>
      <c r="F39" s="509">
        <v>56</v>
      </c>
      <c r="G39" s="510">
        <f t="shared" si="6"/>
        <v>8.4248533172859939E-3</v>
      </c>
    </row>
    <row r="40" spans="2:7" s="859" customFormat="1" x14ac:dyDescent="0.25">
      <c r="B40" s="565">
        <v>22000</v>
      </c>
      <c r="C40" s="566" t="s">
        <v>13</v>
      </c>
      <c r="D40" s="567">
        <v>0.5</v>
      </c>
      <c r="E40" s="568">
        <f t="shared" si="5"/>
        <v>1.4070832571163236E-5</v>
      </c>
      <c r="F40" s="509">
        <v>4</v>
      </c>
      <c r="G40" s="510">
        <f t="shared" si="6"/>
        <v>6.0177523694899952E-4</v>
      </c>
    </row>
    <row r="41" spans="2:7" s="859" customFormat="1" x14ac:dyDescent="0.25">
      <c r="B41" s="565">
        <v>23000</v>
      </c>
      <c r="C41" s="566" t="s">
        <v>14</v>
      </c>
      <c r="D41" s="567">
        <v>1947</v>
      </c>
      <c r="E41" s="568">
        <f t="shared" si="5"/>
        <v>5.4791822032109638E-2</v>
      </c>
      <c r="F41" s="509">
        <v>286</v>
      </c>
      <c r="G41" s="510">
        <f t="shared" si="6"/>
        <v>4.3026929441853469E-2</v>
      </c>
    </row>
    <row r="42" spans="2:7" s="859" customFormat="1" x14ac:dyDescent="0.25">
      <c r="B42" s="565">
        <v>24000</v>
      </c>
      <c r="C42" s="566" t="s">
        <v>15</v>
      </c>
      <c r="D42" s="567">
        <v>1840</v>
      </c>
      <c r="E42" s="568">
        <f t="shared" si="5"/>
        <v>5.178066386188071E-2</v>
      </c>
      <c r="F42" s="509">
        <v>196</v>
      </c>
      <c r="G42" s="510">
        <f t="shared" si="6"/>
        <v>2.9486986610500979E-2</v>
      </c>
    </row>
    <row r="43" spans="2:7" s="859" customFormat="1" x14ac:dyDescent="0.25">
      <c r="B43" s="565">
        <v>25000</v>
      </c>
      <c r="C43" s="566" t="s">
        <v>16</v>
      </c>
      <c r="D43" s="567">
        <v>111.5</v>
      </c>
      <c r="E43" s="568">
        <f t="shared" si="5"/>
        <v>3.1377956633694016E-3</v>
      </c>
      <c r="F43" s="509">
        <v>44</v>
      </c>
      <c r="G43" s="510">
        <f t="shared" si="6"/>
        <v>6.6195276064389954E-3</v>
      </c>
    </row>
    <row r="44" spans="2:7" s="859" customFormat="1" x14ac:dyDescent="0.25">
      <c r="B44" s="565">
        <v>28000</v>
      </c>
      <c r="C44" s="566" t="s">
        <v>19</v>
      </c>
      <c r="D44" s="567">
        <v>1191</v>
      </c>
      <c r="E44" s="568">
        <f t="shared" si="5"/>
        <v>3.3516723184510828E-2</v>
      </c>
      <c r="F44" s="509">
        <v>322</v>
      </c>
      <c r="G44" s="510">
        <f t="shared" si="6"/>
        <v>4.8442906574394463E-2</v>
      </c>
    </row>
    <row r="45" spans="2:7" s="859" customFormat="1" x14ac:dyDescent="0.25">
      <c r="B45" s="565">
        <v>41000</v>
      </c>
      <c r="C45" s="566" t="s">
        <v>21</v>
      </c>
      <c r="D45" s="567">
        <v>341.5</v>
      </c>
      <c r="E45" s="568">
        <f t="shared" si="5"/>
        <v>9.6103786461044904E-3</v>
      </c>
      <c r="F45" s="509">
        <v>110</v>
      </c>
      <c r="G45" s="510">
        <f t="shared" si="6"/>
        <v>1.6548819016097487E-2</v>
      </c>
    </row>
    <row r="46" spans="2:7" s="859" customFormat="1" ht="15.75" thickBot="1" x14ac:dyDescent="0.3">
      <c r="B46" s="570">
        <v>43000</v>
      </c>
      <c r="C46" s="571" t="s">
        <v>22</v>
      </c>
      <c r="D46" s="572">
        <v>234.5</v>
      </c>
      <c r="E46" s="573">
        <f t="shared" si="5"/>
        <v>6.599220475875558E-3</v>
      </c>
      <c r="F46" s="574">
        <v>68</v>
      </c>
      <c r="G46" s="575">
        <f t="shared" si="6"/>
        <v>1.0230179028132993E-2</v>
      </c>
    </row>
    <row r="47" spans="2:7" s="859" customFormat="1" ht="15.75" thickBot="1" x14ac:dyDescent="0.3">
      <c r="B47" s="1079" t="s">
        <v>127</v>
      </c>
      <c r="C47" s="1080"/>
      <c r="D47" s="578">
        <f>SUM(D31:D46)</f>
        <v>35534.5</v>
      </c>
      <c r="E47" s="579">
        <f>SUM(E31:E46)</f>
        <v>1</v>
      </c>
      <c r="F47" s="580">
        <f>SUM(F31:F46)</f>
        <v>6647</v>
      </c>
      <c r="G47" s="581">
        <f>SUM(G31:G46)</f>
        <v>1.0000000000000002</v>
      </c>
    </row>
    <row r="48" spans="2:7" s="859" customFormat="1" x14ac:dyDescent="0.25">
      <c r="B48" s="451"/>
    </row>
    <row r="49" spans="2:7" ht="15.75" thickBot="1" x14ac:dyDescent="0.3">
      <c r="B49" s="534" t="s">
        <v>212</v>
      </c>
    </row>
    <row r="50" spans="2:7" x14ac:dyDescent="0.25">
      <c r="B50" s="1083" t="s">
        <v>2</v>
      </c>
      <c r="C50" s="1085" t="s">
        <v>3</v>
      </c>
      <c r="D50" s="1087" t="s">
        <v>213</v>
      </c>
      <c r="E50" s="1081"/>
      <c r="F50" s="1088" t="s">
        <v>214</v>
      </c>
      <c r="G50" s="1082"/>
    </row>
    <row r="51" spans="2:7" ht="15.75" thickBot="1" x14ac:dyDescent="0.3">
      <c r="B51" s="1084"/>
      <c r="C51" s="1086"/>
      <c r="D51" s="553" t="s">
        <v>179</v>
      </c>
      <c r="E51" s="554" t="s">
        <v>143</v>
      </c>
      <c r="F51" s="555" t="s">
        <v>179</v>
      </c>
      <c r="G51" s="556" t="s">
        <v>143</v>
      </c>
    </row>
    <row r="52" spans="2:7" x14ac:dyDescent="0.25">
      <c r="B52" s="557">
        <v>11000</v>
      </c>
      <c r="C52" s="558" t="s">
        <v>4</v>
      </c>
      <c r="D52" s="559">
        <v>6227.5</v>
      </c>
      <c r="E52" s="560">
        <f>D52/$D$68</f>
        <v>0.18749905911752751</v>
      </c>
      <c r="F52" s="561">
        <v>989</v>
      </c>
      <c r="G52" s="562">
        <f>F52/$F$68</f>
        <v>0.15103848503359804</v>
      </c>
    </row>
    <row r="53" spans="2:7" x14ac:dyDescent="0.25">
      <c r="B53" s="565">
        <v>12000</v>
      </c>
      <c r="C53" s="566" t="s">
        <v>5</v>
      </c>
      <c r="D53" s="567">
        <v>1823.5</v>
      </c>
      <c r="E53" s="568">
        <f t="shared" ref="E53:E67" si="7">D53/$D$68</f>
        <v>5.4902374034654582E-2</v>
      </c>
      <c r="F53" s="509">
        <v>514</v>
      </c>
      <c r="G53" s="510">
        <f t="shared" ref="G53:G67" si="8">F53/$F$68</f>
        <v>7.8497251069028717E-2</v>
      </c>
    </row>
    <row r="54" spans="2:7" x14ac:dyDescent="0.25">
      <c r="B54" s="565">
        <v>13000</v>
      </c>
      <c r="C54" s="566" t="s">
        <v>6</v>
      </c>
      <c r="D54" s="567">
        <v>1899.5</v>
      </c>
      <c r="E54" s="568">
        <f t="shared" si="7"/>
        <v>5.7190600207746849E-2</v>
      </c>
      <c r="F54" s="509">
        <v>432</v>
      </c>
      <c r="G54" s="510">
        <f t="shared" si="8"/>
        <v>6.597434331093463E-2</v>
      </c>
    </row>
    <row r="55" spans="2:7" x14ac:dyDescent="0.25">
      <c r="B55" s="565">
        <v>14000</v>
      </c>
      <c r="C55" s="566" t="s">
        <v>7</v>
      </c>
      <c r="D55" s="567">
        <v>5843.5</v>
      </c>
      <c r="E55" s="568">
        <f t="shared" si="7"/>
        <v>0.17593749529558764</v>
      </c>
      <c r="F55" s="509">
        <v>1463</v>
      </c>
      <c r="G55" s="510">
        <f t="shared" si="8"/>
        <v>0.22342700061087356</v>
      </c>
    </row>
    <row r="56" spans="2:7" x14ac:dyDescent="0.25">
      <c r="B56" s="565">
        <v>15000</v>
      </c>
      <c r="C56" s="566" t="s">
        <v>8</v>
      </c>
      <c r="D56" s="567">
        <v>6677.5</v>
      </c>
      <c r="E56" s="568">
        <f t="shared" si="7"/>
        <v>0.20104776672136329</v>
      </c>
      <c r="F56" s="509">
        <v>1055</v>
      </c>
      <c r="G56" s="510">
        <f t="shared" si="8"/>
        <v>0.16111789859499084</v>
      </c>
    </row>
    <row r="57" spans="2:7" x14ac:dyDescent="0.25">
      <c r="B57" s="565">
        <v>17000</v>
      </c>
      <c r="C57" s="566" t="s">
        <v>9</v>
      </c>
      <c r="D57" s="567">
        <v>2292.5</v>
      </c>
      <c r="E57" s="568">
        <f t="shared" si="7"/>
        <v>6.9023138181763435E-2</v>
      </c>
      <c r="F57" s="509">
        <v>491</v>
      </c>
      <c r="G57" s="510">
        <f t="shared" si="8"/>
        <v>7.4984728161270622E-2</v>
      </c>
    </row>
    <row r="58" spans="2:7" x14ac:dyDescent="0.25">
      <c r="B58" s="565">
        <v>18000</v>
      </c>
      <c r="C58" s="566" t="s">
        <v>10</v>
      </c>
      <c r="D58" s="567">
        <v>2598.5</v>
      </c>
      <c r="E58" s="568">
        <f t="shared" si="7"/>
        <v>7.8236259352371773E-2</v>
      </c>
      <c r="F58" s="509">
        <v>505</v>
      </c>
      <c r="G58" s="510">
        <f t="shared" si="8"/>
        <v>7.7122785583384243E-2</v>
      </c>
    </row>
    <row r="59" spans="2:7" x14ac:dyDescent="0.25">
      <c r="B59" s="565">
        <v>19000</v>
      </c>
      <c r="C59" s="566" t="s">
        <v>11</v>
      </c>
      <c r="D59" s="567">
        <v>414</v>
      </c>
      <c r="E59" s="568">
        <f t="shared" si="7"/>
        <v>1.2464810995528926E-2</v>
      </c>
      <c r="F59" s="509">
        <v>50</v>
      </c>
      <c r="G59" s="510">
        <f t="shared" si="8"/>
        <v>7.6359193646915085E-3</v>
      </c>
    </row>
    <row r="60" spans="2:7" x14ac:dyDescent="0.25">
      <c r="B60" s="565">
        <v>21000</v>
      </c>
      <c r="C60" s="566" t="s">
        <v>12</v>
      </c>
      <c r="D60" s="567">
        <v>147</v>
      </c>
      <c r="E60" s="568">
        <f t="shared" si="7"/>
        <v>4.4259111505863579E-3</v>
      </c>
      <c r="F60" s="509">
        <v>43</v>
      </c>
      <c r="G60" s="510">
        <f t="shared" si="8"/>
        <v>6.5668906536346973E-3</v>
      </c>
    </row>
    <row r="61" spans="2:7" x14ac:dyDescent="0.25">
      <c r="B61" s="565">
        <v>22000</v>
      </c>
      <c r="C61" s="566" t="s">
        <v>13</v>
      </c>
      <c r="D61" s="567">
        <v>12</v>
      </c>
      <c r="E61" s="568">
        <f t="shared" si="7"/>
        <v>3.6129886943562107E-4</v>
      </c>
      <c r="F61" s="509">
        <v>7</v>
      </c>
      <c r="G61" s="510">
        <f t="shared" si="8"/>
        <v>1.0690287110568112E-3</v>
      </c>
    </row>
    <row r="62" spans="2:7" x14ac:dyDescent="0.25">
      <c r="B62" s="565">
        <v>23000</v>
      </c>
      <c r="C62" s="566" t="s">
        <v>14</v>
      </c>
      <c r="D62" s="567">
        <v>1674.5</v>
      </c>
      <c r="E62" s="568">
        <f t="shared" si="7"/>
        <v>5.0416246405828952E-2</v>
      </c>
      <c r="F62" s="509">
        <v>289</v>
      </c>
      <c r="G62" s="510">
        <f t="shared" si="8"/>
        <v>4.4135613927916921E-2</v>
      </c>
    </row>
    <row r="63" spans="2:7" x14ac:dyDescent="0.25">
      <c r="B63" s="565">
        <v>24000</v>
      </c>
      <c r="C63" s="566" t="s">
        <v>15</v>
      </c>
      <c r="D63" s="567">
        <v>1636</v>
      </c>
      <c r="E63" s="568">
        <f t="shared" si="7"/>
        <v>4.9257079199723004E-2</v>
      </c>
      <c r="F63" s="509">
        <v>238</v>
      </c>
      <c r="G63" s="510">
        <f t="shared" si="8"/>
        <v>3.6346976175931585E-2</v>
      </c>
    </row>
    <row r="64" spans="2:7" x14ac:dyDescent="0.25">
      <c r="B64" s="565">
        <v>25000</v>
      </c>
      <c r="C64" s="566" t="s">
        <v>16</v>
      </c>
      <c r="D64" s="567">
        <v>138</v>
      </c>
      <c r="E64" s="568">
        <f t="shared" si="7"/>
        <v>4.1549369985096419E-3</v>
      </c>
      <c r="F64" s="509">
        <v>43</v>
      </c>
      <c r="G64" s="510">
        <f t="shared" si="8"/>
        <v>6.5668906536346973E-3</v>
      </c>
    </row>
    <row r="65" spans="2:7" x14ac:dyDescent="0.25">
      <c r="B65" s="565">
        <v>28000</v>
      </c>
      <c r="C65" s="566" t="s">
        <v>19</v>
      </c>
      <c r="D65" s="567">
        <v>1202.5</v>
      </c>
      <c r="E65" s="568">
        <f t="shared" si="7"/>
        <v>3.6205157541361194E-2</v>
      </c>
      <c r="F65" s="509">
        <v>246</v>
      </c>
      <c r="G65" s="510">
        <f t="shared" si="8"/>
        <v>3.756872327428222E-2</v>
      </c>
    </row>
    <row r="66" spans="2:7" x14ac:dyDescent="0.25">
      <c r="B66" s="565">
        <v>41000</v>
      </c>
      <c r="C66" s="566" t="s">
        <v>21</v>
      </c>
      <c r="D66" s="567">
        <v>369.5</v>
      </c>
      <c r="E66" s="568">
        <f t="shared" si="7"/>
        <v>1.1124994354705165E-2</v>
      </c>
      <c r="F66" s="509">
        <v>112</v>
      </c>
      <c r="G66" s="510">
        <f t="shared" si="8"/>
        <v>1.7104459376908979E-2</v>
      </c>
    </row>
    <row r="67" spans="2:7" ht="15.75" thickBot="1" x14ac:dyDescent="0.3">
      <c r="B67" s="570">
        <v>43000</v>
      </c>
      <c r="C67" s="571" t="s">
        <v>22</v>
      </c>
      <c r="D67" s="572">
        <v>257.5</v>
      </c>
      <c r="E67" s="573">
        <f t="shared" si="7"/>
        <v>7.7528715733060352E-3</v>
      </c>
      <c r="F67" s="574">
        <v>71</v>
      </c>
      <c r="G67" s="575">
        <f t="shared" si="8"/>
        <v>1.0843005497861942E-2</v>
      </c>
    </row>
    <row r="68" spans="2:7" ht="15.75" thickBot="1" x14ac:dyDescent="0.3">
      <c r="B68" s="1079" t="s">
        <v>127</v>
      </c>
      <c r="C68" s="1080"/>
      <c r="D68" s="578">
        <f>SUM(D52:D67)</f>
        <v>33213.5</v>
      </c>
      <c r="E68" s="579">
        <f>SUM(E52:E67)</f>
        <v>0.99999999999999989</v>
      </c>
      <c r="F68" s="580">
        <f>SUM(F52:F67)</f>
        <v>6548</v>
      </c>
      <c r="G68" s="581">
        <f>SUM(G52:G67)</f>
        <v>1</v>
      </c>
    </row>
    <row r="70" spans="2:7" ht="15.75" thickBot="1" x14ac:dyDescent="0.3">
      <c r="B70" s="534" t="s">
        <v>180</v>
      </c>
    </row>
    <row r="71" spans="2:7" x14ac:dyDescent="0.25">
      <c r="B71" s="1083" t="s">
        <v>2</v>
      </c>
      <c r="C71" s="1085" t="s">
        <v>3</v>
      </c>
      <c r="D71" s="1087" t="s">
        <v>181</v>
      </c>
      <c r="E71" s="1081"/>
      <c r="F71" s="1088" t="s">
        <v>182</v>
      </c>
      <c r="G71" s="1082"/>
    </row>
    <row r="72" spans="2:7" ht="15.75" thickBot="1" x14ac:dyDescent="0.3">
      <c r="B72" s="1084"/>
      <c r="C72" s="1086"/>
      <c r="D72" s="553" t="s">
        <v>179</v>
      </c>
      <c r="E72" s="554" t="s">
        <v>143</v>
      </c>
      <c r="F72" s="555" t="s">
        <v>179</v>
      </c>
      <c r="G72" s="556" t="s">
        <v>143</v>
      </c>
    </row>
    <row r="73" spans="2:7" x14ac:dyDescent="0.25">
      <c r="B73" s="557">
        <v>1100</v>
      </c>
      <c r="C73" s="558" t="s">
        <v>4</v>
      </c>
      <c r="D73" s="559">
        <v>5215.5</v>
      </c>
      <c r="E73" s="560">
        <f>D73/$D$89</f>
        <v>0.1763452857939849</v>
      </c>
      <c r="F73" s="561">
        <v>1025</v>
      </c>
      <c r="G73" s="562">
        <f>F73/$F$89</f>
        <v>0.15568043742405832</v>
      </c>
    </row>
    <row r="74" spans="2:7" x14ac:dyDescent="0.25">
      <c r="B74" s="565">
        <v>1200</v>
      </c>
      <c r="C74" s="566" t="s">
        <v>5</v>
      </c>
      <c r="D74" s="567">
        <v>1983.5</v>
      </c>
      <c r="E74" s="568">
        <f t="shared" ref="E74:E88" si="9">D74/$D$89</f>
        <v>6.7065645551216385E-2</v>
      </c>
      <c r="F74" s="509">
        <v>549</v>
      </c>
      <c r="G74" s="510">
        <f t="shared" ref="G74:G88" si="10">F74/$F$89</f>
        <v>8.3383961117861477E-2</v>
      </c>
    </row>
    <row r="75" spans="2:7" x14ac:dyDescent="0.25">
      <c r="B75" s="565">
        <v>1300</v>
      </c>
      <c r="C75" s="566" t="s">
        <v>6</v>
      </c>
      <c r="D75" s="567">
        <v>1941</v>
      </c>
      <c r="E75" s="568">
        <f t="shared" si="9"/>
        <v>6.5628645331439875E-2</v>
      </c>
      <c r="F75" s="509">
        <v>404</v>
      </c>
      <c r="G75" s="510">
        <f t="shared" si="10"/>
        <v>6.1360874848116649E-2</v>
      </c>
    </row>
    <row r="76" spans="2:7" x14ac:dyDescent="0.25">
      <c r="B76" s="565">
        <v>1400</v>
      </c>
      <c r="C76" s="566" t="s">
        <v>7</v>
      </c>
      <c r="D76" s="567">
        <v>5459.5</v>
      </c>
      <c r="E76" s="568">
        <f t="shared" si="9"/>
        <v>0.18459535764399587</v>
      </c>
      <c r="F76" s="509">
        <v>1326</v>
      </c>
      <c r="G76" s="510">
        <f t="shared" si="10"/>
        <v>0.20139732685297693</v>
      </c>
    </row>
    <row r="77" spans="2:7" x14ac:dyDescent="0.25">
      <c r="B77" s="565">
        <v>1500</v>
      </c>
      <c r="C77" s="566" t="s">
        <v>8</v>
      </c>
      <c r="D77" s="567">
        <v>5416</v>
      </c>
      <c r="E77" s="568">
        <f t="shared" si="9"/>
        <v>0.18312454565434227</v>
      </c>
      <c r="F77" s="509">
        <v>1058</v>
      </c>
      <c r="G77" s="510">
        <f t="shared" si="10"/>
        <v>0.16069258809234507</v>
      </c>
    </row>
    <row r="78" spans="2:7" x14ac:dyDescent="0.25">
      <c r="B78" s="565">
        <v>1700</v>
      </c>
      <c r="C78" s="566" t="s">
        <v>9</v>
      </c>
      <c r="D78" s="567">
        <v>1992</v>
      </c>
      <c r="E78" s="568">
        <f t="shared" si="9"/>
        <v>6.7353045595171676E-2</v>
      </c>
      <c r="F78" s="509">
        <v>520</v>
      </c>
      <c r="G78" s="510">
        <f t="shared" si="10"/>
        <v>7.8979343863912518E-2</v>
      </c>
    </row>
    <row r="79" spans="2:7" x14ac:dyDescent="0.25">
      <c r="B79" s="565">
        <v>1800</v>
      </c>
      <c r="C79" s="566" t="s">
        <v>10</v>
      </c>
      <c r="D79" s="567">
        <v>2310.5</v>
      </c>
      <c r="E79" s="568">
        <f t="shared" si="9"/>
        <v>7.8122094301026193E-2</v>
      </c>
      <c r="F79" s="509">
        <v>535</v>
      </c>
      <c r="G79" s="510">
        <f t="shared" si="10"/>
        <v>8.125759416767922E-2</v>
      </c>
    </row>
    <row r="80" spans="2:7" x14ac:dyDescent="0.25">
      <c r="B80" s="565">
        <v>1900</v>
      </c>
      <c r="C80" s="566" t="s">
        <v>11</v>
      </c>
      <c r="D80" s="567">
        <v>351</v>
      </c>
      <c r="E80" s="568">
        <f t="shared" si="9"/>
        <v>1.1867931226860071E-2</v>
      </c>
      <c r="F80" s="509">
        <v>62</v>
      </c>
      <c r="G80" s="510">
        <f t="shared" si="10"/>
        <v>9.4167679222357231E-3</v>
      </c>
    </row>
    <row r="81" spans="1:7" x14ac:dyDescent="0.25">
      <c r="B81" s="565">
        <v>2100</v>
      </c>
      <c r="C81" s="566" t="s">
        <v>12</v>
      </c>
      <c r="D81" s="567">
        <v>213.5</v>
      </c>
      <c r="E81" s="568">
        <f t="shared" si="9"/>
        <v>7.2188128687596153E-3</v>
      </c>
      <c r="F81" s="509">
        <v>48</v>
      </c>
      <c r="G81" s="510">
        <f t="shared" si="10"/>
        <v>7.2904009720534627E-3</v>
      </c>
    </row>
    <row r="82" spans="1:7" x14ac:dyDescent="0.25">
      <c r="B82" s="565">
        <v>2200</v>
      </c>
      <c r="C82" s="566" t="s">
        <v>13</v>
      </c>
      <c r="D82" s="567">
        <v>25</v>
      </c>
      <c r="E82" s="568">
        <f t="shared" si="9"/>
        <v>8.4529424692735542E-4</v>
      </c>
      <c r="F82" s="509">
        <v>14</v>
      </c>
      <c r="G82" s="510">
        <f t="shared" si="10"/>
        <v>2.1263669501822599E-3</v>
      </c>
    </row>
    <row r="83" spans="1:7" x14ac:dyDescent="0.25">
      <c r="B83" s="565">
        <v>2300</v>
      </c>
      <c r="C83" s="566" t="s">
        <v>14</v>
      </c>
      <c r="D83" s="567">
        <v>1331</v>
      </c>
      <c r="E83" s="568">
        <f t="shared" si="9"/>
        <v>4.50034657064124E-2</v>
      </c>
      <c r="F83" s="509">
        <v>292</v>
      </c>
      <c r="G83" s="510">
        <f t="shared" si="10"/>
        <v>4.4349939246658567E-2</v>
      </c>
    </row>
    <row r="84" spans="1:7" x14ac:dyDescent="0.25">
      <c r="B84" s="565">
        <v>2400</v>
      </c>
      <c r="C84" s="566" t="s">
        <v>15</v>
      </c>
      <c r="D84" s="567">
        <v>1484</v>
      </c>
      <c r="E84" s="568">
        <f t="shared" si="9"/>
        <v>5.0176666497607818E-2</v>
      </c>
      <c r="F84" s="509">
        <v>249</v>
      </c>
      <c r="G84" s="510">
        <f t="shared" si="10"/>
        <v>3.7818955042527337E-2</v>
      </c>
    </row>
    <row r="85" spans="1:7" x14ac:dyDescent="0.25">
      <c r="B85" s="565">
        <v>2500</v>
      </c>
      <c r="C85" s="566" t="s">
        <v>16</v>
      </c>
      <c r="D85" s="567">
        <v>139</v>
      </c>
      <c r="E85" s="568">
        <f t="shared" si="9"/>
        <v>4.6998360129160959E-3</v>
      </c>
      <c r="F85" s="509">
        <v>42</v>
      </c>
      <c r="G85" s="510">
        <f t="shared" si="10"/>
        <v>6.3791008505467801E-3</v>
      </c>
    </row>
    <row r="86" spans="1:7" x14ac:dyDescent="0.25">
      <c r="B86" s="565">
        <v>2800</v>
      </c>
      <c r="C86" s="566" t="s">
        <v>19</v>
      </c>
      <c r="D86" s="567">
        <v>1155</v>
      </c>
      <c r="E86" s="568">
        <f t="shared" si="9"/>
        <v>3.9052594208043821E-2</v>
      </c>
      <c r="F86" s="509">
        <v>310</v>
      </c>
      <c r="G86" s="510">
        <f t="shared" si="10"/>
        <v>4.7083839611178617E-2</v>
      </c>
    </row>
    <row r="87" spans="1:7" x14ac:dyDescent="0.25">
      <c r="B87" s="565">
        <v>4100</v>
      </c>
      <c r="C87" s="566" t="s">
        <v>21</v>
      </c>
      <c r="D87" s="567">
        <v>356.5</v>
      </c>
      <c r="E87" s="568">
        <f t="shared" si="9"/>
        <v>1.2053895961184087E-2</v>
      </c>
      <c r="F87" s="509">
        <v>109</v>
      </c>
      <c r="G87" s="510">
        <f t="shared" si="10"/>
        <v>1.6555285540704737E-2</v>
      </c>
    </row>
    <row r="88" spans="1:7" ht="15.75" thickBot="1" x14ac:dyDescent="0.3">
      <c r="B88" s="570">
        <v>4300</v>
      </c>
      <c r="C88" s="571" t="s">
        <v>22</v>
      </c>
      <c r="D88" s="572">
        <v>202.5</v>
      </c>
      <c r="E88" s="573">
        <f t="shared" si="9"/>
        <v>6.8468834001115791E-3</v>
      </c>
      <c r="F88" s="574">
        <v>41</v>
      </c>
      <c r="G88" s="575">
        <f t="shared" si="10"/>
        <v>6.2272174969623326E-3</v>
      </c>
    </row>
    <row r="89" spans="1:7" ht="15.75" thickBot="1" x14ac:dyDescent="0.3">
      <c r="B89" s="1079" t="s">
        <v>127</v>
      </c>
      <c r="C89" s="1080"/>
      <c r="D89" s="578">
        <f>SUM(D73:D88)</f>
        <v>29575.5</v>
      </c>
      <c r="E89" s="579">
        <f>SUM(E73:E88)</f>
        <v>1</v>
      </c>
      <c r="F89" s="580">
        <f>SUM(F73:F88)</f>
        <v>6584</v>
      </c>
      <c r="G89" s="581">
        <f>SUM(G73:G88)</f>
        <v>0.99999999999999989</v>
      </c>
    </row>
    <row r="91" spans="1:7" x14ac:dyDescent="0.25">
      <c r="B91" s="41"/>
    </row>
    <row r="92" spans="1:7" x14ac:dyDescent="0.25">
      <c r="A92" s="710" t="s">
        <v>280</v>
      </c>
    </row>
  </sheetData>
  <mergeCells count="23">
    <mergeCell ref="F29:G29"/>
    <mergeCell ref="D7:E7"/>
    <mergeCell ref="F7:G7"/>
    <mergeCell ref="B8:B9"/>
    <mergeCell ref="C8:C9"/>
    <mergeCell ref="D8:E8"/>
    <mergeCell ref="F8:G8"/>
    <mergeCell ref="B47:C47"/>
    <mergeCell ref="B89:C89"/>
    <mergeCell ref="H8:I8"/>
    <mergeCell ref="B26:C26"/>
    <mergeCell ref="B50:B51"/>
    <mergeCell ref="C50:C51"/>
    <mergeCell ref="D50:E50"/>
    <mergeCell ref="F50:G50"/>
    <mergeCell ref="B68:C68"/>
    <mergeCell ref="B71:B72"/>
    <mergeCell ref="C71:C72"/>
    <mergeCell ref="D71:E71"/>
    <mergeCell ref="F71:G71"/>
    <mergeCell ref="B29:B30"/>
    <mergeCell ref="C29:C30"/>
    <mergeCell ref="D29:E29"/>
  </mergeCells>
  <hyperlinks>
    <hyperlink ref="A92" location="'0 Seznam'!A1" display="Seznam" xr:uid="{670722B2-B773-480B-BEA1-B21ED589C294}"/>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ignoredErrors>
    <ignoredError sqref="I23 I1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0FB7-0B68-4F26-8A76-F6E2A7EF1CD0}">
  <sheetPr>
    <tabColor rgb="FFFF0000"/>
  </sheetPr>
  <dimension ref="A1:N85"/>
  <sheetViews>
    <sheetView zoomScale="70" zoomScaleNormal="70" workbookViewId="0">
      <selection activeCell="C2" sqref="C2"/>
    </sheetView>
  </sheetViews>
  <sheetFormatPr defaultRowHeight="15" x14ac:dyDescent="0.25"/>
  <cols>
    <col min="1" max="1" width="9.140625" style="611"/>
    <col min="2" max="2" width="49.42578125" style="611" customWidth="1"/>
    <col min="3" max="3" width="30" style="611" customWidth="1"/>
    <col min="4" max="4" width="47.28515625" style="611" customWidth="1"/>
    <col min="5" max="10" width="23.85546875" style="611" customWidth="1"/>
    <col min="11" max="11" width="15.7109375" style="611" bestFit="1" customWidth="1"/>
    <col min="12" max="12" width="20.7109375" style="611" customWidth="1"/>
    <col min="13" max="13" width="9.140625" style="611"/>
    <col min="14" max="14" width="12" style="611" bestFit="1" customWidth="1"/>
    <col min="15" max="16384" width="9.140625" style="611"/>
  </cols>
  <sheetData>
    <row r="1" spans="1:14" ht="27.75" x14ac:dyDescent="0.4">
      <c r="A1" s="645" t="s">
        <v>240</v>
      </c>
    </row>
    <row r="3" spans="1:14" x14ac:dyDescent="0.25">
      <c r="A3" s="1107" t="s">
        <v>319</v>
      </c>
      <c r="B3" s="1107"/>
      <c r="C3" s="1107"/>
      <c r="D3" s="646">
        <v>30000000</v>
      </c>
      <c r="E3" s="598"/>
    </row>
    <row r="4" spans="1:14" s="664" customFormat="1" ht="15.75" thickBot="1" x14ac:dyDescent="0.3">
      <c r="A4" s="704"/>
      <c r="B4" s="704"/>
      <c r="C4" s="704"/>
      <c r="D4" s="646"/>
      <c r="E4" s="598"/>
    </row>
    <row r="5" spans="1:14" ht="15.75" thickBot="1" x14ac:dyDescent="0.3">
      <c r="A5" s="664"/>
      <c r="B5" s="664"/>
      <c r="C5" s="664"/>
      <c r="D5" s="664"/>
      <c r="E5" s="1089">
        <v>0.4</v>
      </c>
      <c r="F5" s="1090"/>
      <c r="G5" s="1089">
        <v>0.6</v>
      </c>
      <c r="H5" s="1091"/>
      <c r="I5" s="664"/>
      <c r="J5" s="664"/>
    </row>
    <row r="6" spans="1:14" x14ac:dyDescent="0.25">
      <c r="A6" s="1083" t="s">
        <v>2</v>
      </c>
      <c r="B6" s="1104" t="s">
        <v>3</v>
      </c>
      <c r="C6" s="1104" t="s">
        <v>183</v>
      </c>
      <c r="D6" s="1085" t="s">
        <v>142</v>
      </c>
      <c r="E6" s="1088" t="s">
        <v>230</v>
      </c>
      <c r="F6" s="1081"/>
      <c r="G6" s="1088" t="s">
        <v>231</v>
      </c>
      <c r="H6" s="1082"/>
      <c r="I6" s="1081" t="s">
        <v>28</v>
      </c>
      <c r="J6" s="1082"/>
    </row>
    <row r="7" spans="1:14" ht="15.75" thickBot="1" x14ac:dyDescent="0.3">
      <c r="A7" s="1103"/>
      <c r="B7" s="1105"/>
      <c r="C7" s="1105"/>
      <c r="D7" s="1106"/>
      <c r="E7" s="623" t="s">
        <v>179</v>
      </c>
      <c r="F7" s="702" t="s">
        <v>143</v>
      </c>
      <c r="G7" s="701" t="s">
        <v>179</v>
      </c>
      <c r="H7" s="703" t="s">
        <v>143</v>
      </c>
      <c r="I7" s="702" t="s">
        <v>143</v>
      </c>
      <c r="J7" s="703" t="s">
        <v>145</v>
      </c>
    </row>
    <row r="8" spans="1:14" x14ac:dyDescent="0.25">
      <c r="A8" s="700">
        <v>11000</v>
      </c>
      <c r="B8" s="624" t="s">
        <v>4</v>
      </c>
      <c r="C8" s="699">
        <v>11310</v>
      </c>
      <c r="D8" s="625" t="s">
        <v>232</v>
      </c>
      <c r="E8" s="626"/>
      <c r="F8" s="627">
        <f>0.5*F28+0.3*F48+0.2*F68</f>
        <v>8.4550881298878958E-2</v>
      </c>
      <c r="G8" s="628"/>
      <c r="H8" s="508">
        <f t="shared" ref="H8:H22" si="0">0.5*H28+0.3*H48+0.2*H68</f>
        <v>7.1611873451496097E-2</v>
      </c>
      <c r="I8" s="629">
        <f>$E$5*F8+$G$5*H8</f>
        <v>7.6787476590449238E-2</v>
      </c>
      <c r="J8" s="630">
        <f>ROUND(I8*$D$3,0)</f>
        <v>2303624</v>
      </c>
      <c r="K8" s="707"/>
      <c r="L8" s="707"/>
      <c r="N8" s="707"/>
    </row>
    <row r="9" spans="1:14" x14ac:dyDescent="0.25">
      <c r="A9" s="698">
        <v>11000</v>
      </c>
      <c r="B9" s="584" t="s">
        <v>4</v>
      </c>
      <c r="C9" s="697">
        <v>11510</v>
      </c>
      <c r="D9" s="558" t="s">
        <v>233</v>
      </c>
      <c r="E9" s="559"/>
      <c r="F9" s="560">
        <f t="shared" ref="F9:F22" si="1">0.5*F29+0.3*F49+0.2*F69</f>
        <v>6.240071374795356E-3</v>
      </c>
      <c r="G9" s="561"/>
      <c r="H9" s="562">
        <f t="shared" si="0"/>
        <v>4.6393177053554412E-3</v>
      </c>
      <c r="I9" s="563">
        <f t="shared" ref="I9:I22" si="2">$E$5*F9+$G$5*H9</f>
        <v>5.2796191731314078E-3</v>
      </c>
      <c r="J9" s="564">
        <f>ROUND(I9*$D$3-0.1,0)</f>
        <v>158388</v>
      </c>
      <c r="K9" s="707"/>
      <c r="L9" s="707"/>
      <c r="N9" s="707"/>
    </row>
    <row r="10" spans="1:14" x14ac:dyDescent="0.25">
      <c r="A10" s="698">
        <v>11000</v>
      </c>
      <c r="B10" s="584" t="s">
        <v>4</v>
      </c>
      <c r="C10" s="697">
        <v>11320</v>
      </c>
      <c r="D10" s="558" t="s">
        <v>234</v>
      </c>
      <c r="E10" s="559"/>
      <c r="F10" s="560">
        <f t="shared" si="1"/>
        <v>5.2342843097736527E-2</v>
      </c>
      <c r="G10" s="561"/>
      <c r="H10" s="562">
        <f t="shared" si="0"/>
        <v>7.0663236134934249E-2</v>
      </c>
      <c r="I10" s="563">
        <f t="shared" si="2"/>
        <v>6.333507892005516E-2</v>
      </c>
      <c r="J10" s="564">
        <f t="shared" ref="J10:J20" si="3">ROUND(I10*$D$3,0)</f>
        <v>1900052</v>
      </c>
      <c r="K10" s="707"/>
      <c r="L10" s="707"/>
      <c r="N10" s="707"/>
    </row>
    <row r="11" spans="1:14" x14ac:dyDescent="0.25">
      <c r="A11" s="565">
        <v>12000</v>
      </c>
      <c r="B11" s="585" t="s">
        <v>5</v>
      </c>
      <c r="C11" s="631">
        <v>12310</v>
      </c>
      <c r="D11" s="566" t="s">
        <v>232</v>
      </c>
      <c r="E11" s="567"/>
      <c r="F11" s="568">
        <f t="shared" si="1"/>
        <v>6.0017511753409976E-2</v>
      </c>
      <c r="G11" s="509"/>
      <c r="H11" s="510">
        <f t="shared" si="0"/>
        <v>5.0403087478559178E-2</v>
      </c>
      <c r="I11" s="569">
        <f t="shared" si="2"/>
        <v>5.4248857188499498E-2</v>
      </c>
      <c r="J11" s="507">
        <f t="shared" si="3"/>
        <v>1627466</v>
      </c>
      <c r="K11" s="707"/>
      <c r="L11" s="707"/>
      <c r="N11" s="707"/>
    </row>
    <row r="12" spans="1:14" x14ac:dyDescent="0.25">
      <c r="A12" s="565">
        <v>13000</v>
      </c>
      <c r="B12" s="585" t="s">
        <v>6</v>
      </c>
      <c r="C12" s="631">
        <v>13440</v>
      </c>
      <c r="D12" s="566" t="s">
        <v>232</v>
      </c>
      <c r="E12" s="567"/>
      <c r="F12" s="568">
        <f t="shared" si="1"/>
        <v>7.6421339640374883E-2</v>
      </c>
      <c r="G12" s="509"/>
      <c r="H12" s="510">
        <f t="shared" si="0"/>
        <v>3.6318690045105136E-2</v>
      </c>
      <c r="I12" s="569">
        <f t="shared" si="2"/>
        <v>5.2359749883213035E-2</v>
      </c>
      <c r="J12" s="507">
        <f t="shared" si="3"/>
        <v>1570792</v>
      </c>
      <c r="K12" s="707"/>
      <c r="L12" s="707"/>
      <c r="N12" s="707"/>
    </row>
    <row r="13" spans="1:14" x14ac:dyDescent="0.25">
      <c r="A13" s="565">
        <v>14000</v>
      </c>
      <c r="B13" s="585" t="s">
        <v>7</v>
      </c>
      <c r="C13" s="631">
        <v>14310</v>
      </c>
      <c r="D13" s="566" t="s">
        <v>232</v>
      </c>
      <c r="E13" s="567"/>
      <c r="F13" s="568">
        <f t="shared" si="1"/>
        <v>0.13670080534077372</v>
      </c>
      <c r="G13" s="509"/>
      <c r="H13" s="510">
        <f t="shared" si="0"/>
        <v>0.15007273997840034</v>
      </c>
      <c r="I13" s="569">
        <f t="shared" si="2"/>
        <v>0.1447239661233497</v>
      </c>
      <c r="J13" s="507">
        <f t="shared" si="3"/>
        <v>4341719</v>
      </c>
      <c r="K13" s="707"/>
      <c r="L13" s="707"/>
      <c r="N13" s="707"/>
    </row>
    <row r="14" spans="1:14" x14ac:dyDescent="0.25">
      <c r="A14" s="565">
        <v>14000</v>
      </c>
      <c r="B14" s="585" t="s">
        <v>7</v>
      </c>
      <c r="C14" s="631">
        <v>14510</v>
      </c>
      <c r="D14" s="566" t="s">
        <v>235</v>
      </c>
      <c r="E14" s="567"/>
      <c r="F14" s="568">
        <f t="shared" si="1"/>
        <v>2.150153804379135E-3</v>
      </c>
      <c r="G14" s="509"/>
      <c r="H14" s="510">
        <f t="shared" si="0"/>
        <v>9.3388285369417449E-3</v>
      </c>
      <c r="I14" s="569">
        <f t="shared" si="2"/>
        <v>6.4633586439167001E-3</v>
      </c>
      <c r="J14" s="507">
        <f t="shared" si="3"/>
        <v>193901</v>
      </c>
      <c r="K14" s="707"/>
      <c r="L14" s="707"/>
      <c r="N14" s="707"/>
    </row>
    <row r="15" spans="1:14" x14ac:dyDescent="0.25">
      <c r="A15" s="565">
        <v>15000</v>
      </c>
      <c r="B15" s="585" t="s">
        <v>8</v>
      </c>
      <c r="C15" s="631">
        <v>15310</v>
      </c>
      <c r="D15" s="566" t="s">
        <v>232</v>
      </c>
      <c r="E15" s="567"/>
      <c r="F15" s="568">
        <f t="shared" si="1"/>
        <v>0.20619648860182363</v>
      </c>
      <c r="G15" s="509"/>
      <c r="H15" s="510">
        <f t="shared" si="0"/>
        <v>0.17462851788323486</v>
      </c>
      <c r="I15" s="569">
        <f t="shared" si="2"/>
        <v>0.18725570617067036</v>
      </c>
      <c r="J15" s="507">
        <f t="shared" si="3"/>
        <v>5617671</v>
      </c>
      <c r="K15" s="707"/>
      <c r="L15" s="707"/>
      <c r="N15" s="707"/>
    </row>
    <row r="16" spans="1:14" x14ac:dyDescent="0.25">
      <c r="A16" s="565">
        <v>15000</v>
      </c>
      <c r="B16" s="585" t="s">
        <v>8</v>
      </c>
      <c r="C16" s="631">
        <v>15510</v>
      </c>
      <c r="D16" s="566" t="s">
        <v>236</v>
      </c>
      <c r="E16" s="567"/>
      <c r="F16" s="568">
        <f t="shared" si="1"/>
        <v>2.6363968817307182E-2</v>
      </c>
      <c r="G16" s="509"/>
      <c r="H16" s="510">
        <f t="shared" si="0"/>
        <v>2.1538339368528048E-2</v>
      </c>
      <c r="I16" s="569">
        <f t="shared" si="2"/>
        <v>2.3468591148039702E-2</v>
      </c>
      <c r="J16" s="507">
        <f t="shared" si="3"/>
        <v>704058</v>
      </c>
      <c r="K16" s="707"/>
      <c r="L16" s="707"/>
      <c r="N16" s="707"/>
    </row>
    <row r="17" spans="1:14" x14ac:dyDescent="0.25">
      <c r="A17" s="565">
        <v>17000</v>
      </c>
      <c r="B17" s="585" t="s">
        <v>9</v>
      </c>
      <c r="C17" s="631">
        <v>17310</v>
      </c>
      <c r="D17" s="566" t="s">
        <v>232</v>
      </c>
      <c r="E17" s="567"/>
      <c r="F17" s="568">
        <f t="shared" si="1"/>
        <v>0.12538537323894183</v>
      </c>
      <c r="G17" s="509"/>
      <c r="H17" s="510">
        <f t="shared" si="0"/>
        <v>0.15469014039768755</v>
      </c>
      <c r="I17" s="569">
        <f t="shared" si="2"/>
        <v>0.14296823353418925</v>
      </c>
      <c r="J17" s="507">
        <f t="shared" si="3"/>
        <v>4289047</v>
      </c>
      <c r="K17" s="707"/>
      <c r="L17" s="707"/>
      <c r="N17" s="707"/>
    </row>
    <row r="18" spans="1:14" x14ac:dyDescent="0.25">
      <c r="A18" s="565">
        <v>18000</v>
      </c>
      <c r="B18" s="585" t="s">
        <v>10</v>
      </c>
      <c r="C18" s="631">
        <v>18470</v>
      </c>
      <c r="D18" s="566" t="s">
        <v>232</v>
      </c>
      <c r="E18" s="567"/>
      <c r="F18" s="568">
        <f t="shared" si="1"/>
        <v>0.13090777348280164</v>
      </c>
      <c r="G18" s="509"/>
      <c r="H18" s="510">
        <f t="shared" si="0"/>
        <v>0.11216520551426211</v>
      </c>
      <c r="I18" s="569">
        <f t="shared" si="2"/>
        <v>0.11966223270167792</v>
      </c>
      <c r="J18" s="507">
        <f t="shared" si="3"/>
        <v>3589867</v>
      </c>
      <c r="K18" s="707"/>
      <c r="L18" s="707"/>
      <c r="N18" s="707"/>
    </row>
    <row r="19" spans="1:14" x14ac:dyDescent="0.25">
      <c r="A19" s="565">
        <v>21000</v>
      </c>
      <c r="B19" s="585" t="s">
        <v>12</v>
      </c>
      <c r="C19" s="631">
        <v>21900</v>
      </c>
      <c r="D19" s="566" t="s">
        <v>237</v>
      </c>
      <c r="E19" s="567"/>
      <c r="F19" s="568">
        <f t="shared" si="1"/>
        <v>7.3668090761986743E-2</v>
      </c>
      <c r="G19" s="509"/>
      <c r="H19" s="510">
        <f t="shared" si="0"/>
        <v>0.10437059271964932</v>
      </c>
      <c r="I19" s="569">
        <f t="shared" si="2"/>
        <v>9.2089591936584295E-2</v>
      </c>
      <c r="J19" s="507">
        <f t="shared" si="3"/>
        <v>2762688</v>
      </c>
      <c r="K19" s="707"/>
      <c r="L19" s="707"/>
      <c r="N19" s="707"/>
    </row>
    <row r="20" spans="1:14" x14ac:dyDescent="0.25">
      <c r="A20" s="565">
        <v>22000</v>
      </c>
      <c r="B20" s="585" t="s">
        <v>13</v>
      </c>
      <c r="C20" s="631">
        <v>22900</v>
      </c>
      <c r="D20" s="566" t="s">
        <v>237</v>
      </c>
      <c r="E20" s="567"/>
      <c r="F20" s="568">
        <f t="shared" si="1"/>
        <v>4.6312969156233272E-3</v>
      </c>
      <c r="G20" s="509"/>
      <c r="H20" s="510">
        <f t="shared" si="0"/>
        <v>1.5027793659869129E-2</v>
      </c>
      <c r="I20" s="569">
        <f t="shared" si="2"/>
        <v>1.0869194962170807E-2</v>
      </c>
      <c r="J20" s="507">
        <f t="shared" si="3"/>
        <v>326076</v>
      </c>
      <c r="K20" s="707"/>
      <c r="L20" s="707"/>
      <c r="N20" s="707"/>
    </row>
    <row r="21" spans="1:14" x14ac:dyDescent="0.25">
      <c r="A21" s="565">
        <v>23000</v>
      </c>
      <c r="B21" s="585" t="s">
        <v>14</v>
      </c>
      <c r="C21" s="631">
        <v>23520</v>
      </c>
      <c r="D21" s="566" t="s">
        <v>238</v>
      </c>
      <c r="E21" s="567"/>
      <c r="F21" s="568">
        <f t="shared" si="1"/>
        <v>3.5816829123785057E-3</v>
      </c>
      <c r="G21" s="509"/>
      <c r="H21" s="510">
        <f t="shared" si="0"/>
        <v>6.0631471952226675E-3</v>
      </c>
      <c r="I21" s="569">
        <f t="shared" si="2"/>
        <v>5.0705614820850025E-3</v>
      </c>
      <c r="J21" s="507">
        <f>ROUND(I21*$D$3-0.2,0)</f>
        <v>152117</v>
      </c>
      <c r="K21" s="707"/>
      <c r="L21" s="707"/>
      <c r="N21" s="708"/>
    </row>
    <row r="22" spans="1:14" ht="15.75" thickBot="1" x14ac:dyDescent="0.3">
      <c r="A22" s="586">
        <v>28000</v>
      </c>
      <c r="B22" s="587" t="s">
        <v>19</v>
      </c>
      <c r="C22" s="632">
        <v>28140</v>
      </c>
      <c r="D22" s="633" t="s">
        <v>239</v>
      </c>
      <c r="E22" s="634"/>
      <c r="F22" s="635">
        <f t="shared" si="1"/>
        <v>1.0841718958788589E-2</v>
      </c>
      <c r="G22" s="636"/>
      <c r="H22" s="637">
        <f t="shared" si="0"/>
        <v>1.8468489930754083E-2</v>
      </c>
      <c r="I22" s="638">
        <f t="shared" si="2"/>
        <v>1.5417781541967886E-2</v>
      </c>
      <c r="J22" s="639">
        <f>ROUND(I22*$D$3+0.1,0)</f>
        <v>462534</v>
      </c>
      <c r="K22" s="707"/>
      <c r="L22" s="707"/>
      <c r="N22" s="707"/>
    </row>
    <row r="23" spans="1:14" ht="15.75" thickBot="1" x14ac:dyDescent="0.3">
      <c r="A23" s="1100" t="s">
        <v>127</v>
      </c>
      <c r="B23" s="1101"/>
      <c r="C23" s="1101"/>
      <c r="D23" s="1102"/>
      <c r="E23" s="640">
        <f t="shared" ref="E23:J23" si="4">SUM(E8:E22)</f>
        <v>0</v>
      </c>
      <c r="F23" s="641">
        <f t="shared" si="4"/>
        <v>1</v>
      </c>
      <c r="G23" s="642">
        <f t="shared" si="4"/>
        <v>0</v>
      </c>
      <c r="H23" s="643">
        <f t="shared" si="4"/>
        <v>1</v>
      </c>
      <c r="I23" s="641">
        <f t="shared" si="4"/>
        <v>0.99999999999999978</v>
      </c>
      <c r="J23" s="644">
        <f t="shared" si="4"/>
        <v>30000000</v>
      </c>
      <c r="L23" s="707"/>
    </row>
    <row r="24" spans="1:14" x14ac:dyDescent="0.25">
      <c r="A24" s="664" t="s">
        <v>281</v>
      </c>
      <c r="B24" s="664"/>
      <c r="C24" s="664"/>
      <c r="D24" s="664"/>
      <c r="E24" s="664"/>
      <c r="F24" s="664"/>
      <c r="G24" s="664"/>
      <c r="H24" s="664"/>
      <c r="I24" s="664"/>
      <c r="J24" s="664"/>
    </row>
    <row r="25" spans="1:14" s="859" customFormat="1" ht="15.75" thickBot="1" x14ac:dyDescent="0.3">
      <c r="A25" s="885">
        <v>2021</v>
      </c>
    </row>
    <row r="26" spans="1:14" s="859" customFormat="1" x14ac:dyDescent="0.25">
      <c r="A26" s="1083" t="s">
        <v>2</v>
      </c>
      <c r="B26" s="1104" t="s">
        <v>3</v>
      </c>
      <c r="C26" s="1104" t="s">
        <v>183</v>
      </c>
      <c r="D26" s="1085" t="s">
        <v>142</v>
      </c>
      <c r="E26" s="1088" t="s">
        <v>230</v>
      </c>
      <c r="F26" s="1081"/>
      <c r="G26" s="1088" t="s">
        <v>231</v>
      </c>
      <c r="H26" s="1082"/>
    </row>
    <row r="27" spans="1:14" s="859" customFormat="1" ht="15.75" thickBot="1" x14ac:dyDescent="0.3">
      <c r="A27" s="1103"/>
      <c r="B27" s="1105"/>
      <c r="C27" s="1105"/>
      <c r="D27" s="1106"/>
      <c r="E27" s="882" t="s">
        <v>179</v>
      </c>
      <c r="F27" s="883" t="s">
        <v>143</v>
      </c>
      <c r="G27" s="882" t="s">
        <v>179</v>
      </c>
      <c r="H27" s="884" t="s">
        <v>143</v>
      </c>
    </row>
    <row r="28" spans="1:14" s="859" customFormat="1" x14ac:dyDescent="0.25">
      <c r="A28" s="881">
        <v>11000</v>
      </c>
      <c r="B28" s="624" t="s">
        <v>4</v>
      </c>
      <c r="C28" s="880">
        <v>11310</v>
      </c>
      <c r="D28" s="625" t="s">
        <v>232</v>
      </c>
      <c r="E28" s="628">
        <v>225</v>
      </c>
      <c r="F28" s="627">
        <f t="shared" ref="F28:F42" si="5">E28/$E$43</f>
        <v>8.5812356979405036E-2</v>
      </c>
      <c r="G28" s="628">
        <v>33</v>
      </c>
      <c r="H28" s="508">
        <f t="shared" ref="H28:H42" si="6">G28/$G$43</f>
        <v>6.2264150943396226E-2</v>
      </c>
    </row>
    <row r="29" spans="1:14" s="859" customFormat="1" x14ac:dyDescent="0.25">
      <c r="A29" s="879">
        <v>11000</v>
      </c>
      <c r="B29" s="584" t="s">
        <v>4</v>
      </c>
      <c r="C29" s="878">
        <v>11510</v>
      </c>
      <c r="D29" s="558" t="s">
        <v>233</v>
      </c>
      <c r="E29" s="561">
        <v>15</v>
      </c>
      <c r="F29" s="560">
        <f t="shared" si="5"/>
        <v>5.7208237986270021E-3</v>
      </c>
      <c r="G29" s="561">
        <v>2</v>
      </c>
      <c r="H29" s="562">
        <f t="shared" si="6"/>
        <v>3.7735849056603774E-3</v>
      </c>
    </row>
    <row r="30" spans="1:14" s="859" customFormat="1" x14ac:dyDescent="0.25">
      <c r="A30" s="879">
        <v>11000</v>
      </c>
      <c r="B30" s="584" t="s">
        <v>4</v>
      </c>
      <c r="C30" s="878">
        <v>11320</v>
      </c>
      <c r="D30" s="558" t="s">
        <v>234</v>
      </c>
      <c r="E30" s="561">
        <v>124</v>
      </c>
      <c r="F30" s="560">
        <f t="shared" si="5"/>
        <v>4.7292143401983219E-2</v>
      </c>
      <c r="G30" s="561">
        <v>37</v>
      </c>
      <c r="H30" s="562">
        <f t="shared" si="6"/>
        <v>6.981132075471698E-2</v>
      </c>
    </row>
    <row r="31" spans="1:14" s="859" customFormat="1" x14ac:dyDescent="0.25">
      <c r="A31" s="565">
        <v>12000</v>
      </c>
      <c r="B31" s="585" t="s">
        <v>5</v>
      </c>
      <c r="C31" s="631">
        <v>12310</v>
      </c>
      <c r="D31" s="566" t="s">
        <v>232</v>
      </c>
      <c r="E31" s="509">
        <v>178</v>
      </c>
      <c r="F31" s="568">
        <f t="shared" si="5"/>
        <v>6.7887109077040431E-2</v>
      </c>
      <c r="G31" s="509">
        <v>25</v>
      </c>
      <c r="H31" s="510">
        <f t="shared" si="6"/>
        <v>4.716981132075472E-2</v>
      </c>
    </row>
    <row r="32" spans="1:14" s="859" customFormat="1" x14ac:dyDescent="0.25">
      <c r="A32" s="565">
        <v>13000</v>
      </c>
      <c r="B32" s="585" t="s">
        <v>6</v>
      </c>
      <c r="C32" s="631">
        <v>13440</v>
      </c>
      <c r="D32" s="566" t="s">
        <v>232</v>
      </c>
      <c r="E32" s="509">
        <v>194</v>
      </c>
      <c r="F32" s="568">
        <f t="shared" si="5"/>
        <v>7.3989321128909227E-2</v>
      </c>
      <c r="G32" s="509">
        <v>22</v>
      </c>
      <c r="H32" s="510">
        <f t="shared" si="6"/>
        <v>4.1509433962264149E-2</v>
      </c>
    </row>
    <row r="33" spans="1:10" s="859" customFormat="1" x14ac:dyDescent="0.25">
      <c r="A33" s="565">
        <v>14000</v>
      </c>
      <c r="B33" s="585" t="s">
        <v>7</v>
      </c>
      <c r="C33" s="631">
        <v>14310</v>
      </c>
      <c r="D33" s="566" t="s">
        <v>232</v>
      </c>
      <c r="E33" s="509">
        <v>352</v>
      </c>
      <c r="F33" s="568">
        <f t="shared" si="5"/>
        <v>0.13424866514111367</v>
      </c>
      <c r="G33" s="509">
        <v>88</v>
      </c>
      <c r="H33" s="510">
        <f t="shared" si="6"/>
        <v>0.16603773584905659</v>
      </c>
    </row>
    <row r="34" spans="1:10" s="859" customFormat="1" x14ac:dyDescent="0.25">
      <c r="A34" s="565">
        <v>14000</v>
      </c>
      <c r="B34" s="585" t="s">
        <v>7</v>
      </c>
      <c r="C34" s="631">
        <v>14510</v>
      </c>
      <c r="D34" s="566" t="s">
        <v>235</v>
      </c>
      <c r="E34" s="509">
        <v>2</v>
      </c>
      <c r="F34" s="568">
        <f t="shared" si="5"/>
        <v>7.6277650648360034E-4</v>
      </c>
      <c r="G34" s="509">
        <v>6</v>
      </c>
      <c r="H34" s="510">
        <f t="shared" si="6"/>
        <v>1.1320754716981131E-2</v>
      </c>
    </row>
    <row r="35" spans="1:10" s="859" customFormat="1" x14ac:dyDescent="0.25">
      <c r="A35" s="565">
        <v>15000</v>
      </c>
      <c r="B35" s="585" t="s">
        <v>8</v>
      </c>
      <c r="C35" s="631">
        <v>15310</v>
      </c>
      <c r="D35" s="566" t="s">
        <v>232</v>
      </c>
      <c r="E35" s="509">
        <v>545</v>
      </c>
      <c r="F35" s="568">
        <f t="shared" si="5"/>
        <v>0.20785659801678108</v>
      </c>
      <c r="G35" s="509">
        <v>91</v>
      </c>
      <c r="H35" s="510">
        <f t="shared" si="6"/>
        <v>0.17169811320754716</v>
      </c>
    </row>
    <row r="36" spans="1:10" s="859" customFormat="1" x14ac:dyDescent="0.25">
      <c r="A36" s="565">
        <v>15000</v>
      </c>
      <c r="B36" s="585" t="s">
        <v>8</v>
      </c>
      <c r="C36" s="631">
        <v>15510</v>
      </c>
      <c r="D36" s="566" t="s">
        <v>236</v>
      </c>
      <c r="E36" s="509">
        <v>67</v>
      </c>
      <c r="F36" s="568">
        <f t="shared" si="5"/>
        <v>2.5553012967200611E-2</v>
      </c>
      <c r="G36" s="509">
        <v>10</v>
      </c>
      <c r="H36" s="510">
        <f t="shared" si="6"/>
        <v>1.8867924528301886E-2</v>
      </c>
    </row>
    <row r="37" spans="1:10" s="859" customFormat="1" x14ac:dyDescent="0.25">
      <c r="A37" s="565">
        <v>17000</v>
      </c>
      <c r="B37" s="585" t="s">
        <v>9</v>
      </c>
      <c r="C37" s="631">
        <v>17310</v>
      </c>
      <c r="D37" s="566" t="s">
        <v>232</v>
      </c>
      <c r="E37" s="509">
        <v>381</v>
      </c>
      <c r="F37" s="568">
        <f t="shared" si="5"/>
        <v>0.14530892448512586</v>
      </c>
      <c r="G37" s="509">
        <v>82</v>
      </c>
      <c r="H37" s="510">
        <f t="shared" si="6"/>
        <v>0.15471698113207547</v>
      </c>
    </row>
    <row r="38" spans="1:10" s="859" customFormat="1" x14ac:dyDescent="0.25">
      <c r="A38" s="565">
        <v>18000</v>
      </c>
      <c r="B38" s="585" t="s">
        <v>10</v>
      </c>
      <c r="C38" s="631">
        <v>18470</v>
      </c>
      <c r="D38" s="566" t="s">
        <v>232</v>
      </c>
      <c r="E38" s="509">
        <v>332</v>
      </c>
      <c r="F38" s="568">
        <f t="shared" si="5"/>
        <v>0.12662090007627766</v>
      </c>
      <c r="G38" s="509">
        <v>56</v>
      </c>
      <c r="H38" s="510">
        <f t="shared" si="6"/>
        <v>0.10566037735849057</v>
      </c>
    </row>
    <row r="39" spans="1:10" s="859" customFormat="1" x14ac:dyDescent="0.25">
      <c r="A39" s="565">
        <v>21000</v>
      </c>
      <c r="B39" s="585" t="s">
        <v>12</v>
      </c>
      <c r="C39" s="631">
        <v>21900</v>
      </c>
      <c r="D39" s="566" t="s">
        <v>237</v>
      </c>
      <c r="E39" s="509">
        <v>174</v>
      </c>
      <c r="F39" s="568">
        <f t="shared" si="5"/>
        <v>6.6361556064073221E-2</v>
      </c>
      <c r="G39" s="509">
        <v>56</v>
      </c>
      <c r="H39" s="510">
        <f t="shared" si="6"/>
        <v>0.10566037735849057</v>
      </c>
    </row>
    <row r="40" spans="1:10" s="859" customFormat="1" x14ac:dyDescent="0.25">
      <c r="A40" s="565">
        <v>22000</v>
      </c>
      <c r="B40" s="585" t="s">
        <v>13</v>
      </c>
      <c r="C40" s="631">
        <v>22900</v>
      </c>
      <c r="D40" s="566" t="s">
        <v>237</v>
      </c>
      <c r="E40" s="509">
        <v>2</v>
      </c>
      <c r="F40" s="568">
        <f t="shared" si="5"/>
        <v>7.6277650648360034E-4</v>
      </c>
      <c r="G40" s="509">
        <v>4</v>
      </c>
      <c r="H40" s="510">
        <f t="shared" si="6"/>
        <v>7.5471698113207548E-3</v>
      </c>
    </row>
    <row r="41" spans="1:10" s="859" customFormat="1" x14ac:dyDescent="0.25">
      <c r="A41" s="565">
        <v>23000</v>
      </c>
      <c r="B41" s="585" t="s">
        <v>14</v>
      </c>
      <c r="C41" s="631">
        <v>23520</v>
      </c>
      <c r="D41" s="566" t="s">
        <v>238</v>
      </c>
      <c r="E41" s="509">
        <v>8</v>
      </c>
      <c r="F41" s="568">
        <f t="shared" si="5"/>
        <v>3.0511060259344014E-3</v>
      </c>
      <c r="G41" s="509">
        <v>4</v>
      </c>
      <c r="H41" s="510">
        <f t="shared" si="6"/>
        <v>7.5471698113207548E-3</v>
      </c>
    </row>
    <row r="42" spans="1:10" s="859" customFormat="1" ht="15.75" thickBot="1" x14ac:dyDescent="0.3">
      <c r="A42" s="586">
        <v>28000</v>
      </c>
      <c r="B42" s="587" t="s">
        <v>19</v>
      </c>
      <c r="C42" s="632">
        <v>28140</v>
      </c>
      <c r="D42" s="633" t="s">
        <v>239</v>
      </c>
      <c r="E42" s="636">
        <v>23</v>
      </c>
      <c r="F42" s="635">
        <f t="shared" si="5"/>
        <v>8.771929824561403E-3</v>
      </c>
      <c r="G42" s="636">
        <v>14</v>
      </c>
      <c r="H42" s="637">
        <f t="shared" si="6"/>
        <v>2.6415094339622643E-2</v>
      </c>
    </row>
    <row r="43" spans="1:10" s="859" customFormat="1" ht="15.75" thickBot="1" x14ac:dyDescent="0.3">
      <c r="A43" s="1100" t="s">
        <v>127</v>
      </c>
      <c r="B43" s="1101"/>
      <c r="C43" s="1101"/>
      <c r="D43" s="1102"/>
      <c r="E43" s="642">
        <f>SUM(E28:E42)</f>
        <v>2622</v>
      </c>
      <c r="F43" s="641">
        <f>SUM(F28:F42)</f>
        <v>1</v>
      </c>
      <c r="G43" s="642">
        <f>SUM(G28:G42)</f>
        <v>530</v>
      </c>
      <c r="H43" s="643">
        <f>SUM(H28:H42)</f>
        <v>0.99999999999999989</v>
      </c>
    </row>
    <row r="44" spans="1:10" s="859" customFormat="1" x14ac:dyDescent="0.25"/>
    <row r="45" spans="1:10" ht="15.75" thickBot="1" x14ac:dyDescent="0.3">
      <c r="A45" s="372">
        <v>2020</v>
      </c>
      <c r="B45" s="664"/>
      <c r="C45" s="664"/>
      <c r="D45" s="664"/>
      <c r="E45" s="664"/>
      <c r="F45" s="664"/>
      <c r="G45" s="664"/>
      <c r="H45" s="664"/>
      <c r="I45" s="664"/>
      <c r="J45" s="664"/>
    </row>
    <row r="46" spans="1:10" ht="27" customHeight="1" x14ac:dyDescent="0.25">
      <c r="A46" s="1083" t="s">
        <v>2</v>
      </c>
      <c r="B46" s="1104" t="s">
        <v>3</v>
      </c>
      <c r="C46" s="1104" t="s">
        <v>183</v>
      </c>
      <c r="D46" s="1085" t="s">
        <v>142</v>
      </c>
      <c r="E46" s="1096" t="s">
        <v>276</v>
      </c>
      <c r="F46" s="1097"/>
      <c r="G46" s="1098" t="s">
        <v>279</v>
      </c>
      <c r="H46" s="1099"/>
      <c r="I46" s="664"/>
      <c r="J46" s="664"/>
    </row>
    <row r="47" spans="1:10" ht="15.75" thickBot="1" x14ac:dyDescent="0.3">
      <c r="A47" s="1103"/>
      <c r="B47" s="1105"/>
      <c r="C47" s="1105"/>
      <c r="D47" s="1106"/>
      <c r="E47" s="701" t="s">
        <v>179</v>
      </c>
      <c r="F47" s="702" t="s">
        <v>143</v>
      </c>
      <c r="G47" s="701" t="s">
        <v>179</v>
      </c>
      <c r="H47" s="703" t="s">
        <v>143</v>
      </c>
      <c r="I47" s="664"/>
      <c r="J47" s="664"/>
    </row>
    <row r="48" spans="1:10" x14ac:dyDescent="0.25">
      <c r="A48" s="700">
        <v>11000</v>
      </c>
      <c r="B48" s="624" t="s">
        <v>4</v>
      </c>
      <c r="C48" s="699">
        <v>11310</v>
      </c>
      <c r="D48" s="625" t="s">
        <v>232</v>
      </c>
      <c r="E48" s="628">
        <v>207</v>
      </c>
      <c r="F48" s="627">
        <f t="shared" ref="F48:F62" si="7">E48/$E$63</f>
        <v>8.6574654956085323E-2</v>
      </c>
      <c r="G48" s="628">
        <v>39</v>
      </c>
      <c r="H48" s="508">
        <f t="shared" ref="H48:H62" si="8">G48/$G$63</f>
        <v>8.8636363636363638E-2</v>
      </c>
      <c r="I48" s="664"/>
      <c r="J48" s="664"/>
    </row>
    <row r="49" spans="1:10" x14ac:dyDescent="0.25">
      <c r="A49" s="698">
        <v>11000</v>
      </c>
      <c r="B49" s="584" t="s">
        <v>4</v>
      </c>
      <c r="C49" s="697">
        <v>11510</v>
      </c>
      <c r="D49" s="558" t="s">
        <v>233</v>
      </c>
      <c r="E49" s="561">
        <v>17</v>
      </c>
      <c r="F49" s="560">
        <f t="shared" si="7"/>
        <v>7.1099958176495193E-3</v>
      </c>
      <c r="G49" s="561">
        <v>2</v>
      </c>
      <c r="H49" s="562">
        <f t="shared" si="8"/>
        <v>4.5454545454545452E-3</v>
      </c>
      <c r="I49" s="664"/>
      <c r="J49" s="664"/>
    </row>
    <row r="50" spans="1:10" x14ac:dyDescent="0.25">
      <c r="A50" s="698">
        <v>11000</v>
      </c>
      <c r="B50" s="584" t="s">
        <v>4</v>
      </c>
      <c r="C50" s="697">
        <v>11320</v>
      </c>
      <c r="D50" s="558" t="s">
        <v>234</v>
      </c>
      <c r="E50" s="561">
        <v>140</v>
      </c>
      <c r="F50" s="560">
        <f t="shared" si="7"/>
        <v>5.8552906733584272E-2</v>
      </c>
      <c r="G50" s="561">
        <v>28</v>
      </c>
      <c r="H50" s="562">
        <f t="shared" si="8"/>
        <v>6.363636363636363E-2</v>
      </c>
      <c r="I50" s="664"/>
      <c r="J50" s="664"/>
    </row>
    <row r="51" spans="1:10" x14ac:dyDescent="0.25">
      <c r="A51" s="565">
        <v>12000</v>
      </c>
      <c r="B51" s="585" t="s">
        <v>5</v>
      </c>
      <c r="C51" s="631">
        <v>12310</v>
      </c>
      <c r="D51" s="566" t="s">
        <v>232</v>
      </c>
      <c r="E51" s="509">
        <v>134</v>
      </c>
      <c r="F51" s="568">
        <f t="shared" si="7"/>
        <v>5.6043496445002089E-2</v>
      </c>
      <c r="G51" s="509">
        <v>21</v>
      </c>
      <c r="H51" s="510">
        <f t="shared" si="8"/>
        <v>4.7727272727272729E-2</v>
      </c>
      <c r="I51" s="664"/>
      <c r="J51" s="664"/>
    </row>
    <row r="52" spans="1:10" x14ac:dyDescent="0.25">
      <c r="A52" s="565">
        <v>13000</v>
      </c>
      <c r="B52" s="585" t="s">
        <v>6</v>
      </c>
      <c r="C52" s="631">
        <v>13440</v>
      </c>
      <c r="D52" s="566" t="s">
        <v>232</v>
      </c>
      <c r="E52" s="509">
        <v>195</v>
      </c>
      <c r="F52" s="568">
        <f t="shared" si="7"/>
        <v>8.1555834378920958E-2</v>
      </c>
      <c r="G52" s="509">
        <v>14</v>
      </c>
      <c r="H52" s="510">
        <f t="shared" si="8"/>
        <v>3.1818181818181815E-2</v>
      </c>
      <c r="I52" s="664"/>
      <c r="J52" s="664"/>
    </row>
    <row r="53" spans="1:10" x14ac:dyDescent="0.25">
      <c r="A53" s="565">
        <v>14000</v>
      </c>
      <c r="B53" s="585" t="s">
        <v>7</v>
      </c>
      <c r="C53" s="631">
        <v>14310</v>
      </c>
      <c r="D53" s="566" t="s">
        <v>232</v>
      </c>
      <c r="E53" s="509">
        <v>348</v>
      </c>
      <c r="F53" s="568">
        <f t="shared" si="7"/>
        <v>0.14554579673776663</v>
      </c>
      <c r="G53" s="509">
        <v>61</v>
      </c>
      <c r="H53" s="510">
        <f t="shared" si="8"/>
        <v>0.13863636363636364</v>
      </c>
      <c r="I53" s="664"/>
      <c r="J53" s="664"/>
    </row>
    <row r="54" spans="1:10" x14ac:dyDescent="0.25">
      <c r="A54" s="565">
        <v>14000</v>
      </c>
      <c r="B54" s="585" t="s">
        <v>7</v>
      </c>
      <c r="C54" s="631">
        <v>14510</v>
      </c>
      <c r="D54" s="566" t="s">
        <v>235</v>
      </c>
      <c r="E54" s="509">
        <v>7</v>
      </c>
      <c r="F54" s="568">
        <f t="shared" si="7"/>
        <v>2.9276453366792136E-3</v>
      </c>
      <c r="G54" s="509">
        <v>2</v>
      </c>
      <c r="H54" s="510">
        <f t="shared" si="8"/>
        <v>4.5454545454545452E-3</v>
      </c>
      <c r="I54" s="664"/>
      <c r="J54" s="664"/>
    </row>
    <row r="55" spans="1:10" x14ac:dyDescent="0.25">
      <c r="A55" s="565">
        <v>15000</v>
      </c>
      <c r="B55" s="585" t="s">
        <v>8</v>
      </c>
      <c r="C55" s="631">
        <v>15310</v>
      </c>
      <c r="D55" s="566" t="s">
        <v>232</v>
      </c>
      <c r="E55" s="509">
        <v>495</v>
      </c>
      <c r="F55" s="568">
        <f t="shared" si="7"/>
        <v>0.20702634880803011</v>
      </c>
      <c r="G55" s="509">
        <v>82</v>
      </c>
      <c r="H55" s="510">
        <f t="shared" si="8"/>
        <v>0.18636363636363637</v>
      </c>
      <c r="I55" s="664"/>
      <c r="J55" s="664"/>
    </row>
    <row r="56" spans="1:10" x14ac:dyDescent="0.25">
      <c r="A56" s="565">
        <v>15000</v>
      </c>
      <c r="B56" s="585" t="s">
        <v>8</v>
      </c>
      <c r="C56" s="631">
        <v>15510</v>
      </c>
      <c r="D56" s="566" t="s">
        <v>236</v>
      </c>
      <c r="E56" s="509">
        <v>65</v>
      </c>
      <c r="F56" s="568">
        <f t="shared" si="7"/>
        <v>2.7185278126306986E-2</v>
      </c>
      <c r="G56" s="509">
        <v>13</v>
      </c>
      <c r="H56" s="510">
        <f t="shared" si="8"/>
        <v>2.9545454545454545E-2</v>
      </c>
      <c r="I56" s="664"/>
      <c r="J56" s="664"/>
    </row>
    <row r="57" spans="1:10" x14ac:dyDescent="0.25">
      <c r="A57" s="565">
        <v>17000</v>
      </c>
      <c r="B57" s="585" t="s">
        <v>9</v>
      </c>
      <c r="C57" s="631">
        <v>17310</v>
      </c>
      <c r="D57" s="566" t="s">
        <v>232</v>
      </c>
      <c r="E57" s="509">
        <v>240</v>
      </c>
      <c r="F57" s="568">
        <f t="shared" si="7"/>
        <v>0.10037641154328733</v>
      </c>
      <c r="G57" s="509">
        <v>72</v>
      </c>
      <c r="H57" s="510">
        <f t="shared" si="8"/>
        <v>0.16363636363636364</v>
      </c>
      <c r="I57" s="664"/>
      <c r="J57" s="664"/>
    </row>
    <row r="58" spans="1:10" x14ac:dyDescent="0.25">
      <c r="A58" s="565">
        <v>18000</v>
      </c>
      <c r="B58" s="585" t="s">
        <v>10</v>
      </c>
      <c r="C58" s="631">
        <v>18470</v>
      </c>
      <c r="D58" s="566" t="s">
        <v>232</v>
      </c>
      <c r="E58" s="509">
        <v>323</v>
      </c>
      <c r="F58" s="568">
        <f t="shared" si="7"/>
        <v>0.13508992053534086</v>
      </c>
      <c r="G58" s="509">
        <v>49</v>
      </c>
      <c r="H58" s="510">
        <f t="shared" si="8"/>
        <v>0.11136363636363636</v>
      </c>
      <c r="I58" s="664"/>
      <c r="J58" s="664"/>
    </row>
    <row r="59" spans="1:10" x14ac:dyDescent="0.25">
      <c r="A59" s="565">
        <v>21000</v>
      </c>
      <c r="B59" s="585" t="s">
        <v>12</v>
      </c>
      <c r="C59" s="631">
        <v>21900</v>
      </c>
      <c r="D59" s="566" t="s">
        <v>237</v>
      </c>
      <c r="E59" s="509">
        <v>163</v>
      </c>
      <c r="F59" s="568">
        <f t="shared" si="7"/>
        <v>6.8172312839815979E-2</v>
      </c>
      <c r="G59" s="509">
        <v>43</v>
      </c>
      <c r="H59" s="510">
        <f t="shared" si="8"/>
        <v>9.7727272727272732E-2</v>
      </c>
      <c r="I59" s="664"/>
      <c r="J59" s="664"/>
    </row>
    <row r="60" spans="1:10" x14ac:dyDescent="0.25">
      <c r="A60" s="565">
        <v>22000</v>
      </c>
      <c r="B60" s="585" t="s">
        <v>13</v>
      </c>
      <c r="C60" s="631">
        <v>22900</v>
      </c>
      <c r="D60" s="566" t="s">
        <v>237</v>
      </c>
      <c r="E60" s="509">
        <v>14</v>
      </c>
      <c r="F60" s="568">
        <f t="shared" si="7"/>
        <v>5.8552906733584272E-3</v>
      </c>
      <c r="G60" s="509">
        <v>7</v>
      </c>
      <c r="H60" s="510">
        <f t="shared" si="8"/>
        <v>1.5909090909090907E-2</v>
      </c>
      <c r="I60" s="664"/>
      <c r="J60" s="664"/>
    </row>
    <row r="61" spans="1:10" x14ac:dyDescent="0.25">
      <c r="A61" s="565">
        <v>23000</v>
      </c>
      <c r="B61" s="585" t="s">
        <v>14</v>
      </c>
      <c r="C61" s="631">
        <v>23520</v>
      </c>
      <c r="D61" s="566" t="s">
        <v>238</v>
      </c>
      <c r="E61" s="509">
        <v>10</v>
      </c>
      <c r="F61" s="568">
        <f t="shared" si="7"/>
        <v>4.1823504809703057E-3</v>
      </c>
      <c r="G61" s="509">
        <v>2</v>
      </c>
      <c r="H61" s="510">
        <f t="shared" si="8"/>
        <v>4.5454545454545452E-3</v>
      </c>
      <c r="I61" s="664"/>
      <c r="J61" s="664"/>
    </row>
    <row r="62" spans="1:10" ht="15.75" thickBot="1" x14ac:dyDescent="0.3">
      <c r="A62" s="586">
        <v>28000</v>
      </c>
      <c r="B62" s="587" t="s">
        <v>19</v>
      </c>
      <c r="C62" s="632">
        <v>28140</v>
      </c>
      <c r="D62" s="633" t="s">
        <v>239</v>
      </c>
      <c r="E62" s="636">
        <v>33</v>
      </c>
      <c r="F62" s="635">
        <f t="shared" si="7"/>
        <v>1.3801756587202008E-2</v>
      </c>
      <c r="G62" s="636">
        <v>5</v>
      </c>
      <c r="H62" s="637">
        <f t="shared" si="8"/>
        <v>1.1363636363636364E-2</v>
      </c>
      <c r="I62" s="664"/>
      <c r="J62" s="664"/>
    </row>
    <row r="63" spans="1:10" ht="15.75" thickBot="1" x14ac:dyDescent="0.3">
      <c r="A63" s="1100" t="s">
        <v>127</v>
      </c>
      <c r="B63" s="1101"/>
      <c r="C63" s="1101"/>
      <c r="D63" s="1102"/>
      <c r="E63" s="642">
        <f>SUM(E48:E62)</f>
        <v>2391</v>
      </c>
      <c r="F63" s="641">
        <f>SUM(F48:F62)</f>
        <v>1</v>
      </c>
      <c r="G63" s="642">
        <f>SUM(G48:G62)</f>
        <v>440</v>
      </c>
      <c r="H63" s="643">
        <f>SUM(H48:H62)</f>
        <v>0.99999999999999989</v>
      </c>
      <c r="I63" s="664"/>
      <c r="J63" s="664"/>
    </row>
    <row r="64" spans="1:10" x14ac:dyDescent="0.25">
      <c r="A64" s="664"/>
      <c r="B64" s="664"/>
      <c r="C64" s="664"/>
      <c r="D64" s="664"/>
      <c r="E64" s="664"/>
      <c r="F64" s="664"/>
      <c r="G64" s="664"/>
      <c r="H64" s="664"/>
      <c r="I64" s="664"/>
      <c r="J64" s="664"/>
    </row>
    <row r="65" spans="1:10" ht="15.75" thickBot="1" x14ac:dyDescent="0.3">
      <c r="A65" s="372">
        <v>2019</v>
      </c>
      <c r="B65" s="664"/>
      <c r="C65" s="664"/>
      <c r="D65" s="664"/>
      <c r="E65" s="664"/>
      <c r="F65" s="664"/>
      <c r="G65" s="664"/>
      <c r="H65" s="664"/>
      <c r="I65" s="664"/>
      <c r="J65" s="664"/>
    </row>
    <row r="66" spans="1:10" ht="27" customHeight="1" x14ac:dyDescent="0.25">
      <c r="A66" s="1083" t="s">
        <v>2</v>
      </c>
      <c r="B66" s="1104" t="s">
        <v>3</v>
      </c>
      <c r="C66" s="1104" t="s">
        <v>183</v>
      </c>
      <c r="D66" s="1085" t="s">
        <v>142</v>
      </c>
      <c r="E66" s="1096" t="s">
        <v>277</v>
      </c>
      <c r="F66" s="1097"/>
      <c r="G66" s="1098" t="s">
        <v>278</v>
      </c>
      <c r="H66" s="1099"/>
      <c r="I66" s="664"/>
      <c r="J66" s="664"/>
    </row>
    <row r="67" spans="1:10" ht="15.75" thickBot="1" x14ac:dyDescent="0.3">
      <c r="A67" s="1103"/>
      <c r="B67" s="1105"/>
      <c r="C67" s="1105"/>
      <c r="D67" s="1106"/>
      <c r="E67" s="701" t="s">
        <v>179</v>
      </c>
      <c r="F67" s="702" t="s">
        <v>143</v>
      </c>
      <c r="G67" s="701" t="s">
        <v>179</v>
      </c>
      <c r="H67" s="703" t="s">
        <v>143</v>
      </c>
      <c r="I67" s="664"/>
      <c r="J67" s="664"/>
    </row>
    <row r="68" spans="1:10" x14ac:dyDescent="0.25">
      <c r="A68" s="700">
        <v>11000</v>
      </c>
      <c r="B68" s="624" t="s">
        <v>4</v>
      </c>
      <c r="C68" s="699">
        <v>11310</v>
      </c>
      <c r="D68" s="625" t="s">
        <v>232</v>
      </c>
      <c r="E68" s="628">
        <v>176</v>
      </c>
      <c r="F68" s="627">
        <f t="shared" ref="F68:F82" si="9">E68/$E$83</f>
        <v>7.8361531611754229E-2</v>
      </c>
      <c r="G68" s="628">
        <v>30</v>
      </c>
      <c r="H68" s="508">
        <f t="shared" ref="H68:H82" si="10">G68/$G$83</f>
        <v>6.9444444444444448E-2</v>
      </c>
      <c r="I68" s="664"/>
      <c r="J68" s="664"/>
    </row>
    <row r="69" spans="1:10" x14ac:dyDescent="0.25">
      <c r="A69" s="698">
        <v>11000</v>
      </c>
      <c r="B69" s="584" t="s">
        <v>4</v>
      </c>
      <c r="C69" s="697">
        <v>11510</v>
      </c>
      <c r="D69" s="558" t="s">
        <v>233</v>
      </c>
      <c r="E69" s="561">
        <v>14</v>
      </c>
      <c r="F69" s="560">
        <f t="shared" si="9"/>
        <v>6.2333036509349959E-3</v>
      </c>
      <c r="G69" s="561">
        <v>3</v>
      </c>
      <c r="H69" s="562">
        <f t="shared" si="10"/>
        <v>6.9444444444444441E-3</v>
      </c>
      <c r="I69" s="664"/>
      <c r="J69" s="664"/>
    </row>
    <row r="70" spans="1:10" x14ac:dyDescent="0.25">
      <c r="A70" s="698">
        <v>11000</v>
      </c>
      <c r="B70" s="584" t="s">
        <v>4</v>
      </c>
      <c r="C70" s="697">
        <v>11320</v>
      </c>
      <c r="D70" s="558" t="s">
        <v>234</v>
      </c>
      <c r="E70" s="561">
        <v>125</v>
      </c>
      <c r="F70" s="560">
        <f t="shared" si="9"/>
        <v>5.5654496883348177E-2</v>
      </c>
      <c r="G70" s="561">
        <v>36</v>
      </c>
      <c r="H70" s="562">
        <f t="shared" si="10"/>
        <v>8.3333333333333329E-2</v>
      </c>
      <c r="I70" s="664"/>
      <c r="J70" s="664"/>
    </row>
    <row r="71" spans="1:10" x14ac:dyDescent="0.25">
      <c r="A71" s="565">
        <v>12000</v>
      </c>
      <c r="B71" s="585" t="s">
        <v>5</v>
      </c>
      <c r="C71" s="631">
        <v>12310</v>
      </c>
      <c r="D71" s="566" t="s">
        <v>232</v>
      </c>
      <c r="E71" s="509">
        <v>104</v>
      </c>
      <c r="F71" s="568">
        <f t="shared" si="9"/>
        <v>4.6304541406945683E-2</v>
      </c>
      <c r="G71" s="509">
        <v>27</v>
      </c>
      <c r="H71" s="510">
        <f t="shared" si="10"/>
        <v>6.25E-2</v>
      </c>
      <c r="I71" s="664"/>
      <c r="J71" s="664"/>
    </row>
    <row r="72" spans="1:10" x14ac:dyDescent="0.25">
      <c r="A72" s="565">
        <v>13000</v>
      </c>
      <c r="B72" s="585" t="s">
        <v>6</v>
      </c>
      <c r="C72" s="631">
        <v>13440</v>
      </c>
      <c r="D72" s="566" t="s">
        <v>232</v>
      </c>
      <c r="E72" s="509">
        <v>168</v>
      </c>
      <c r="F72" s="568">
        <f t="shared" si="9"/>
        <v>7.4799643811219951E-2</v>
      </c>
      <c r="G72" s="509">
        <v>13</v>
      </c>
      <c r="H72" s="510">
        <f t="shared" si="10"/>
        <v>3.0092592592592591E-2</v>
      </c>
      <c r="I72" s="664"/>
      <c r="J72" s="664"/>
    </row>
    <row r="73" spans="1:10" x14ac:dyDescent="0.25">
      <c r="A73" s="565">
        <v>14000</v>
      </c>
      <c r="B73" s="585" t="s">
        <v>7</v>
      </c>
      <c r="C73" s="631">
        <v>14310</v>
      </c>
      <c r="D73" s="566" t="s">
        <v>232</v>
      </c>
      <c r="E73" s="509">
        <v>291</v>
      </c>
      <c r="F73" s="568">
        <f t="shared" si="9"/>
        <v>0.12956366874443456</v>
      </c>
      <c r="G73" s="509">
        <v>55</v>
      </c>
      <c r="H73" s="510">
        <f t="shared" si="10"/>
        <v>0.12731481481481483</v>
      </c>
      <c r="I73" s="664"/>
      <c r="J73" s="664"/>
    </row>
    <row r="74" spans="1:10" x14ac:dyDescent="0.25">
      <c r="A74" s="565">
        <v>14000</v>
      </c>
      <c r="B74" s="585" t="s">
        <v>7</v>
      </c>
      <c r="C74" s="631">
        <v>14510</v>
      </c>
      <c r="D74" s="566" t="s">
        <v>235</v>
      </c>
      <c r="E74" s="509">
        <v>10</v>
      </c>
      <c r="F74" s="568">
        <f t="shared" si="9"/>
        <v>4.4523597506678537E-3</v>
      </c>
      <c r="G74" s="509">
        <v>5</v>
      </c>
      <c r="H74" s="510">
        <f t="shared" si="10"/>
        <v>1.1574074074074073E-2</v>
      </c>
      <c r="I74" s="664"/>
      <c r="J74" s="664"/>
    </row>
    <row r="75" spans="1:10" x14ac:dyDescent="0.25">
      <c r="A75" s="565">
        <v>15000</v>
      </c>
      <c r="B75" s="585" t="s">
        <v>8</v>
      </c>
      <c r="C75" s="631">
        <v>15310</v>
      </c>
      <c r="D75" s="566" t="s">
        <v>232</v>
      </c>
      <c r="E75" s="509">
        <v>451</v>
      </c>
      <c r="F75" s="568">
        <f t="shared" si="9"/>
        <v>0.20080142475512022</v>
      </c>
      <c r="G75" s="509">
        <v>71</v>
      </c>
      <c r="H75" s="510">
        <f t="shared" si="10"/>
        <v>0.16435185185185186</v>
      </c>
      <c r="I75" s="664"/>
      <c r="J75" s="664"/>
    </row>
    <row r="76" spans="1:10" x14ac:dyDescent="0.25">
      <c r="A76" s="565">
        <v>15000</v>
      </c>
      <c r="B76" s="585" t="s">
        <v>8</v>
      </c>
      <c r="C76" s="631">
        <v>15510</v>
      </c>
      <c r="D76" s="566" t="s">
        <v>236</v>
      </c>
      <c r="E76" s="509">
        <v>61</v>
      </c>
      <c r="F76" s="568">
        <f t="shared" si="9"/>
        <v>2.7159394479073909E-2</v>
      </c>
      <c r="G76" s="509">
        <v>7</v>
      </c>
      <c r="H76" s="510">
        <f t="shared" si="10"/>
        <v>1.6203703703703703E-2</v>
      </c>
      <c r="I76" s="664"/>
      <c r="J76" s="664"/>
    </row>
    <row r="77" spans="1:10" x14ac:dyDescent="0.25">
      <c r="A77" s="565">
        <v>17000</v>
      </c>
      <c r="B77" s="585" t="s">
        <v>9</v>
      </c>
      <c r="C77" s="631">
        <v>17310</v>
      </c>
      <c r="D77" s="566" t="s">
        <v>232</v>
      </c>
      <c r="E77" s="509">
        <v>254</v>
      </c>
      <c r="F77" s="568">
        <f t="shared" si="9"/>
        <v>0.11308993766696349</v>
      </c>
      <c r="G77" s="509">
        <v>61</v>
      </c>
      <c r="H77" s="510">
        <f t="shared" si="10"/>
        <v>0.14120370370370369</v>
      </c>
      <c r="I77" s="664"/>
      <c r="J77" s="664"/>
    </row>
    <row r="78" spans="1:10" x14ac:dyDescent="0.25">
      <c r="A78" s="565">
        <v>18000</v>
      </c>
      <c r="B78" s="585" t="s">
        <v>10</v>
      </c>
      <c r="C78" s="631">
        <v>18470</v>
      </c>
      <c r="D78" s="566" t="s">
        <v>232</v>
      </c>
      <c r="E78" s="509">
        <v>304</v>
      </c>
      <c r="F78" s="568">
        <f t="shared" si="9"/>
        <v>0.13535173642030277</v>
      </c>
      <c r="G78" s="509">
        <v>56</v>
      </c>
      <c r="H78" s="510">
        <f t="shared" si="10"/>
        <v>0.12962962962962962</v>
      </c>
      <c r="I78" s="664"/>
      <c r="J78" s="664"/>
    </row>
    <row r="79" spans="1:10" x14ac:dyDescent="0.25">
      <c r="A79" s="565">
        <v>21000</v>
      </c>
      <c r="B79" s="585" t="s">
        <v>12</v>
      </c>
      <c r="C79" s="631">
        <v>21900</v>
      </c>
      <c r="D79" s="566" t="s">
        <v>237</v>
      </c>
      <c r="E79" s="509">
        <v>225</v>
      </c>
      <c r="F79" s="568">
        <f t="shared" si="9"/>
        <v>0.10017809439002671</v>
      </c>
      <c r="G79" s="509">
        <v>48</v>
      </c>
      <c r="H79" s="510">
        <f t="shared" si="10"/>
        <v>0.1111111111111111</v>
      </c>
      <c r="I79" s="664"/>
      <c r="J79" s="664"/>
    </row>
    <row r="80" spans="1:10" x14ac:dyDescent="0.25">
      <c r="A80" s="565">
        <v>22000</v>
      </c>
      <c r="B80" s="585" t="s">
        <v>13</v>
      </c>
      <c r="C80" s="631">
        <v>22900</v>
      </c>
      <c r="D80" s="566" t="s">
        <v>237</v>
      </c>
      <c r="E80" s="509">
        <v>28</v>
      </c>
      <c r="F80" s="568">
        <f t="shared" si="9"/>
        <v>1.2466607301869992E-2</v>
      </c>
      <c r="G80" s="509">
        <v>14</v>
      </c>
      <c r="H80" s="510">
        <f t="shared" si="10"/>
        <v>3.2407407407407406E-2</v>
      </c>
      <c r="I80" s="664"/>
      <c r="J80" s="664"/>
    </row>
    <row r="81" spans="1:10" x14ac:dyDescent="0.25">
      <c r="A81" s="565">
        <v>23000</v>
      </c>
      <c r="B81" s="585" t="s">
        <v>14</v>
      </c>
      <c r="C81" s="631">
        <v>23520</v>
      </c>
      <c r="D81" s="566" t="s">
        <v>238</v>
      </c>
      <c r="E81" s="509">
        <v>9</v>
      </c>
      <c r="F81" s="568">
        <f t="shared" si="9"/>
        <v>4.0071237756010682E-3</v>
      </c>
      <c r="G81" s="509">
        <v>2</v>
      </c>
      <c r="H81" s="510">
        <f t="shared" si="10"/>
        <v>4.6296296296296294E-3</v>
      </c>
      <c r="I81" s="664"/>
      <c r="J81" s="664"/>
    </row>
    <row r="82" spans="1:10" ht="15.75" thickBot="1" x14ac:dyDescent="0.3">
      <c r="A82" s="586">
        <v>28000</v>
      </c>
      <c r="B82" s="587" t="s">
        <v>19</v>
      </c>
      <c r="C82" s="632">
        <v>28140</v>
      </c>
      <c r="D82" s="633" t="s">
        <v>239</v>
      </c>
      <c r="E82" s="636">
        <v>26</v>
      </c>
      <c r="F82" s="635">
        <f t="shared" si="9"/>
        <v>1.1576135351736421E-2</v>
      </c>
      <c r="G82" s="636">
        <v>4</v>
      </c>
      <c r="H82" s="637">
        <f t="shared" si="10"/>
        <v>9.2592592592592587E-3</v>
      </c>
      <c r="I82" s="664"/>
      <c r="J82" s="664"/>
    </row>
    <row r="83" spans="1:10" ht="15.75" thickBot="1" x14ac:dyDescent="0.3">
      <c r="A83" s="1100" t="s">
        <v>127</v>
      </c>
      <c r="B83" s="1101"/>
      <c r="C83" s="1101"/>
      <c r="D83" s="1102"/>
      <c r="E83" s="642">
        <f>SUM(E68:E82)</f>
        <v>2246</v>
      </c>
      <c r="F83" s="641">
        <f>SUM(F68:F82)</f>
        <v>1</v>
      </c>
      <c r="G83" s="642">
        <f>SUM(G68:G82)</f>
        <v>432</v>
      </c>
      <c r="H83" s="643">
        <f>SUM(H68:H82)</f>
        <v>1</v>
      </c>
      <c r="I83" s="664"/>
      <c r="J83" s="664"/>
    </row>
    <row r="84" spans="1:10" x14ac:dyDescent="0.25">
      <c r="A84" s="664"/>
      <c r="B84" s="664"/>
      <c r="C84" s="664"/>
      <c r="D84" s="664"/>
      <c r="E84" s="664"/>
      <c r="F84" s="664"/>
      <c r="G84" s="664"/>
      <c r="H84" s="664"/>
      <c r="I84" s="664"/>
      <c r="J84" s="664"/>
    </row>
    <row r="85" spans="1:10" x14ac:dyDescent="0.25">
      <c r="A85" s="710" t="s">
        <v>280</v>
      </c>
    </row>
  </sheetData>
  <mergeCells count="32">
    <mergeCell ref="A43:D43"/>
    <mergeCell ref="I6:J6"/>
    <mergeCell ref="A23:D23"/>
    <mergeCell ref="A46:A47"/>
    <mergeCell ref="B46:B47"/>
    <mergeCell ref="C46:C47"/>
    <mergeCell ref="D46:D47"/>
    <mergeCell ref="E46:F46"/>
    <mergeCell ref="G46:H46"/>
    <mergeCell ref="G6:H6"/>
    <mergeCell ref="E6:F6"/>
    <mergeCell ref="A26:A27"/>
    <mergeCell ref="B26:B27"/>
    <mergeCell ref="C26:C27"/>
    <mergeCell ref="D26:D27"/>
    <mergeCell ref="E26:F26"/>
    <mergeCell ref="G26:H26"/>
    <mergeCell ref="A3:C3"/>
    <mergeCell ref="E5:F5"/>
    <mergeCell ref="G5:H5"/>
    <mergeCell ref="A6:A7"/>
    <mergeCell ref="B6:B7"/>
    <mergeCell ref="C6:C7"/>
    <mergeCell ref="D6:D7"/>
    <mergeCell ref="E66:F66"/>
    <mergeCell ref="G66:H66"/>
    <mergeCell ref="A83:D83"/>
    <mergeCell ref="A63:D63"/>
    <mergeCell ref="A66:A67"/>
    <mergeCell ref="B66:B67"/>
    <mergeCell ref="C66:C67"/>
    <mergeCell ref="D66:D67"/>
  </mergeCells>
  <hyperlinks>
    <hyperlink ref="A85" location="'0 Seznam'!A1" display="Seznam" xr:uid="{30E29C72-AE70-47B6-AEF6-AE8577C7CF22}"/>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ignoredErrors>
    <ignoredError sqref="J9 J2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P73"/>
  <sheetViews>
    <sheetView topLeftCell="A7" zoomScale="70" zoomScaleNormal="70" workbookViewId="0">
      <selection activeCell="A47" sqref="A47"/>
    </sheetView>
  </sheetViews>
  <sheetFormatPr defaultRowHeight="15" x14ac:dyDescent="0.25"/>
  <cols>
    <col min="2" max="2" width="61.140625" customWidth="1"/>
    <col min="3" max="3" width="18" customWidth="1"/>
    <col min="4" max="4" width="22.5703125" customWidth="1"/>
    <col min="5" max="5" width="18" customWidth="1"/>
    <col min="6" max="6" width="24" customWidth="1"/>
    <col min="7" max="7" width="18" customWidth="1"/>
    <col min="8" max="8" width="20.85546875" customWidth="1"/>
    <col min="9" max="11" width="18" customWidth="1"/>
    <col min="12" max="12" width="18" style="611" customWidth="1"/>
    <col min="13" max="13" width="18" customWidth="1"/>
    <col min="14" max="14" width="21.5703125" customWidth="1"/>
    <col min="15" max="15" width="23.42578125" customWidth="1"/>
    <col min="16" max="16" width="20.7109375" customWidth="1"/>
  </cols>
  <sheetData>
    <row r="1" spans="1:14" ht="27.75" x14ac:dyDescent="0.4">
      <c r="A1" s="13" t="s">
        <v>318</v>
      </c>
      <c r="B1" s="14"/>
      <c r="C1" s="14"/>
      <c r="D1" s="14"/>
      <c r="E1" s="14"/>
      <c r="F1" s="14"/>
      <c r="G1" s="14"/>
      <c r="H1" s="14"/>
      <c r="I1" s="14"/>
    </row>
    <row r="2" spans="1:14" ht="28.5" x14ac:dyDescent="0.45">
      <c r="A2" s="15" t="s">
        <v>32</v>
      </c>
      <c r="B2" s="16"/>
      <c r="C2" s="16"/>
      <c r="D2" s="16"/>
      <c r="E2" s="16"/>
      <c r="F2" s="16"/>
      <c r="G2" s="16"/>
      <c r="H2" s="16"/>
      <c r="I2" s="16"/>
    </row>
    <row r="3" spans="1:14" ht="28.5" x14ac:dyDescent="0.45">
      <c r="A3" s="15"/>
      <c r="B3" s="16"/>
      <c r="C3" s="16"/>
      <c r="D3" s="16"/>
      <c r="E3" s="16"/>
      <c r="F3" s="16"/>
      <c r="G3" s="16"/>
      <c r="H3" s="16"/>
      <c r="I3" s="16"/>
    </row>
    <row r="4" spans="1:14" x14ac:dyDescent="0.25">
      <c r="A4" s="16"/>
      <c r="B4" s="17" t="s">
        <v>33</v>
      </c>
      <c r="C4" s="18">
        <f>'1 Bilance'!O19</f>
        <v>22624099832</v>
      </c>
      <c r="D4" s="17" t="s">
        <v>34</v>
      </c>
      <c r="E4" s="16"/>
      <c r="F4" s="16"/>
      <c r="G4" s="16"/>
      <c r="H4" s="16"/>
      <c r="I4" s="16"/>
    </row>
    <row r="5" spans="1:14" x14ac:dyDescent="0.25">
      <c r="A5" s="16"/>
      <c r="B5" s="17" t="s">
        <v>37</v>
      </c>
      <c r="C5" s="18">
        <f>'1 Bilance'!O16</f>
        <v>17965561474</v>
      </c>
      <c r="D5" s="17" t="s">
        <v>34</v>
      </c>
      <c r="E5" s="17" t="s">
        <v>35</v>
      </c>
      <c r="F5" s="28">
        <f>C5/$C$4</f>
        <v>0.79408955969108364</v>
      </c>
      <c r="G5" s="16"/>
      <c r="H5" s="17" t="s">
        <v>40</v>
      </c>
      <c r="I5" s="29">
        <f>C5/($C$5+$C$6)</f>
        <v>0.82458871051166982</v>
      </c>
      <c r="K5" s="18"/>
      <c r="L5" s="18"/>
    </row>
    <row r="6" spans="1:14" x14ac:dyDescent="0.25">
      <c r="A6" s="16"/>
      <c r="B6" s="17" t="s">
        <v>38</v>
      </c>
      <c r="C6" s="18">
        <f>'1 Bilance'!O17</f>
        <v>3821738358</v>
      </c>
      <c r="D6" s="17" t="s">
        <v>34</v>
      </c>
      <c r="E6" s="17" t="s">
        <v>35</v>
      </c>
      <c r="F6" s="28">
        <f>C6/$C$4</f>
        <v>0.16892333336482424</v>
      </c>
      <c r="G6" s="16"/>
      <c r="H6" s="17" t="s">
        <v>40</v>
      </c>
      <c r="I6" s="29">
        <f>C6/($C$5+$C$6)</f>
        <v>0.17541128948833021</v>
      </c>
      <c r="K6" s="18"/>
      <c r="L6" s="18"/>
    </row>
    <row r="7" spans="1:14" s="859" customFormat="1" x14ac:dyDescent="0.25">
      <c r="A7" s="16"/>
      <c r="B7" s="14" t="s">
        <v>322</v>
      </c>
      <c r="C7" s="373">
        <v>60000000</v>
      </c>
      <c r="D7" s="14" t="s">
        <v>34</v>
      </c>
      <c r="E7" s="17"/>
      <c r="F7" s="28"/>
      <c r="G7" s="16"/>
      <c r="H7" s="17"/>
      <c r="I7" s="29"/>
      <c r="K7" s="18"/>
      <c r="L7" s="18"/>
    </row>
    <row r="8" spans="1:14" s="1" customFormat="1" x14ac:dyDescent="0.25">
      <c r="A8" s="16"/>
      <c r="B8" s="17" t="s">
        <v>39</v>
      </c>
      <c r="C8" s="18">
        <f>'1 Bilance'!O18</f>
        <v>836800000</v>
      </c>
      <c r="D8" s="17" t="s">
        <v>34</v>
      </c>
      <c r="E8" s="17" t="s">
        <v>35</v>
      </c>
      <c r="F8" s="28">
        <f>C8/$C$4</f>
        <v>3.6987106944092095E-2</v>
      </c>
      <c r="G8" s="16"/>
      <c r="H8" s="19"/>
      <c r="I8" s="16"/>
      <c r="L8" s="611"/>
    </row>
    <row r="9" spans="1:14" s="1" customFormat="1" x14ac:dyDescent="0.25">
      <c r="A9" s="16"/>
      <c r="B9" s="14" t="s">
        <v>45</v>
      </c>
      <c r="C9" s="373">
        <v>600000000</v>
      </c>
      <c r="D9" s="14" t="s">
        <v>34</v>
      </c>
      <c r="E9" s="17"/>
      <c r="F9" s="28"/>
      <c r="G9" s="16"/>
      <c r="H9" s="19"/>
      <c r="I9" s="16"/>
      <c r="L9" s="611"/>
    </row>
    <row r="10" spans="1:14" x14ac:dyDescent="0.25">
      <c r="A10" s="16"/>
      <c r="B10" s="14" t="s">
        <v>46</v>
      </c>
      <c r="C10" s="373">
        <v>115000000</v>
      </c>
      <c r="D10" s="14" t="s">
        <v>34</v>
      </c>
      <c r="E10" s="16"/>
      <c r="F10" s="16"/>
      <c r="G10" s="16"/>
      <c r="H10" s="16"/>
      <c r="I10" s="20"/>
      <c r="J10" s="40"/>
      <c r="K10" s="20"/>
      <c r="L10" s="20"/>
    </row>
    <row r="11" spans="1:14" s="1" customFormat="1" x14ac:dyDescent="0.25">
      <c r="A11" s="16"/>
      <c r="B11" s="14" t="s">
        <v>131</v>
      </c>
      <c r="C11" s="373">
        <v>85000000</v>
      </c>
      <c r="D11" s="14" t="s">
        <v>34</v>
      </c>
      <c r="E11" s="16"/>
      <c r="F11" s="16"/>
      <c r="G11" s="16"/>
      <c r="H11" s="16"/>
      <c r="I11" s="892"/>
      <c r="J11" s="893"/>
      <c r="K11" s="20"/>
      <c r="L11" s="20"/>
    </row>
    <row r="12" spans="1:14" s="611" customFormat="1" x14ac:dyDescent="0.25">
      <c r="A12" s="16"/>
      <c r="B12" s="14" t="s">
        <v>275</v>
      </c>
      <c r="C12" s="373">
        <v>30000000</v>
      </c>
      <c r="D12" s="14" t="s">
        <v>34</v>
      </c>
      <c r="E12" s="16"/>
      <c r="F12" s="16"/>
      <c r="G12" s="16"/>
      <c r="H12" s="16"/>
      <c r="I12" s="20"/>
      <c r="J12" s="40"/>
      <c r="K12" s="20"/>
      <c r="L12" s="20"/>
    </row>
    <row r="13" spans="1:14" s="43" customFormat="1" x14ac:dyDescent="0.25">
      <c r="A13" s="16"/>
      <c r="B13" s="14" t="s">
        <v>132</v>
      </c>
      <c r="C13" s="373">
        <v>6800000</v>
      </c>
      <c r="D13" s="14" t="s">
        <v>34</v>
      </c>
      <c r="E13" s="16"/>
      <c r="F13" s="16"/>
      <c r="G13" s="16"/>
      <c r="H13" s="16"/>
      <c r="I13" s="20"/>
      <c r="K13" s="20"/>
      <c r="L13" s="20"/>
      <c r="N13" s="42"/>
    </row>
    <row r="14" spans="1:14" s="43" customFormat="1" ht="15.75" thickBot="1" x14ac:dyDescent="0.3">
      <c r="A14" s="16"/>
      <c r="B14" s="17"/>
      <c r="C14" s="16"/>
      <c r="D14" s="16"/>
      <c r="E14" s="16"/>
      <c r="F14" s="16"/>
      <c r="G14" s="16"/>
      <c r="H14" s="16"/>
      <c r="I14" s="20"/>
      <c r="K14" s="20"/>
      <c r="L14" s="20"/>
      <c r="N14" s="42" t="s">
        <v>0</v>
      </c>
    </row>
    <row r="15" spans="1:14" ht="15" customHeight="1" x14ac:dyDescent="0.25">
      <c r="A15" s="1113" t="s">
        <v>2</v>
      </c>
      <c r="B15" s="1110" t="s">
        <v>3</v>
      </c>
      <c r="C15" s="1127" t="s">
        <v>41</v>
      </c>
      <c r="D15" s="1128"/>
      <c r="E15" s="1128"/>
      <c r="F15" s="1129"/>
      <c r="G15" s="1130" t="s">
        <v>42</v>
      </c>
      <c r="H15" s="1131"/>
      <c r="I15" s="1138" t="s">
        <v>1</v>
      </c>
      <c r="J15" s="1139"/>
      <c r="K15" s="1139"/>
      <c r="L15" s="1139"/>
      <c r="M15" s="1140"/>
      <c r="N15" s="1116" t="s">
        <v>36</v>
      </c>
    </row>
    <row r="16" spans="1:14" ht="30.75" customHeight="1" x14ac:dyDescent="0.25">
      <c r="A16" s="1114"/>
      <c r="B16" s="1111"/>
      <c r="C16" s="1108" t="s">
        <v>29</v>
      </c>
      <c r="D16" s="1125" t="s">
        <v>30</v>
      </c>
      <c r="E16" s="1123" t="s">
        <v>292</v>
      </c>
      <c r="F16" s="1136" t="s">
        <v>31</v>
      </c>
      <c r="G16" s="1134" t="s">
        <v>29</v>
      </c>
      <c r="H16" s="1132" t="s">
        <v>30</v>
      </c>
      <c r="I16" s="1121" t="s">
        <v>43</v>
      </c>
      <c r="J16" s="1119" t="s">
        <v>44</v>
      </c>
      <c r="K16" s="1119" t="s">
        <v>114</v>
      </c>
      <c r="L16" s="1119" t="s">
        <v>215</v>
      </c>
      <c r="M16" s="1119" t="s">
        <v>115</v>
      </c>
      <c r="N16" s="1117"/>
    </row>
    <row r="17" spans="1:16" s="1" customFormat="1" ht="86.25" customHeight="1" thickBot="1" x14ac:dyDescent="0.3">
      <c r="A17" s="1115"/>
      <c r="B17" s="1112"/>
      <c r="C17" s="1109"/>
      <c r="D17" s="1126"/>
      <c r="E17" s="1124"/>
      <c r="F17" s="1137"/>
      <c r="G17" s="1135"/>
      <c r="H17" s="1133"/>
      <c r="I17" s="1122"/>
      <c r="J17" s="1120"/>
      <c r="K17" s="1120"/>
      <c r="L17" s="1120"/>
      <c r="M17" s="1120"/>
      <c r="N17" s="1118"/>
    </row>
    <row r="18" spans="1:16" x14ac:dyDescent="0.25">
      <c r="A18" s="31">
        <v>11000</v>
      </c>
      <c r="B18" s="33" t="s">
        <v>4</v>
      </c>
      <c r="C18" s="32">
        <v>0.17769266393013733</v>
      </c>
      <c r="D18" s="2">
        <f>ROUND(C18*$C$5,0)</f>
        <v>3192348477</v>
      </c>
      <c r="E18" s="2"/>
      <c r="F18" s="3">
        <f>D18-E18</f>
        <v>3192348477</v>
      </c>
      <c r="G18" s="35">
        <f>'2d Výkonová část segment 4'!V6</f>
        <v>0.20591498890487439</v>
      </c>
      <c r="H18" s="3">
        <f>ROUND(G18*$C$6,0)</f>
        <v>786953212</v>
      </c>
      <c r="I18" s="320">
        <f>SUMIF('3a Ukazatel P - lékařské fakult'!$A$6:$A$13,'4 RO I'!A18,'3a Ukazatel P - lékařské fakult'!$E$6:$E$13)</f>
        <v>381851937</v>
      </c>
      <c r="J18" s="321">
        <f>VLOOKUP(A18,'3b Ukazatel P - Pedagog. fak.'!$A$8:$P$16,16,0)</f>
        <v>21910486</v>
      </c>
      <c r="K18" s="321">
        <f>VLOOKUP(A18,'3c Ukazatel P - pedagogické SP'!$B$10:$I$25,8,0)</f>
        <v>14297835</v>
      </c>
      <c r="L18" s="612">
        <f>SUMIF('3d Ukazatel P - deficitní aprob'!$A$8:$A$22,'4 RO I'!A18,'3d Ukazatel P - deficitní aprob'!$J$8:$J$22)</f>
        <v>4362064</v>
      </c>
      <c r="M18" s="322"/>
      <c r="N18" s="314">
        <f>ROUND(SUM(F18,H18,I18:M18),0)</f>
        <v>4401724011</v>
      </c>
      <c r="O18" s="706"/>
    </row>
    <row r="19" spans="1:16" x14ac:dyDescent="0.25">
      <c r="A19" s="30">
        <v>12000</v>
      </c>
      <c r="B19" s="34" t="s">
        <v>5</v>
      </c>
      <c r="C19" s="22">
        <v>3.082602439109907E-2</v>
      </c>
      <c r="D19" s="5">
        <f t="shared" ref="D19:D43" si="0">ROUND(C19*$C$5,0)</f>
        <v>553806836</v>
      </c>
      <c r="E19" s="5"/>
      <c r="F19" s="6">
        <f t="shared" ref="F19:F43" si="1">D19-E19</f>
        <v>553806836</v>
      </c>
      <c r="G19" s="36">
        <f>'2c Výkonová část segment 3'!V6</f>
        <v>3.0353139510535587E-2</v>
      </c>
      <c r="H19" s="6">
        <f t="shared" ref="H19:H43" si="2">ROUND(G19*$C$6,0)</f>
        <v>116001758</v>
      </c>
      <c r="I19" s="323"/>
      <c r="J19" s="5">
        <f>VLOOKUP(A19,'3b Ukazatel P - Pedagog. fak.'!$A$8:$P$16,16,0)</f>
        <v>10260061</v>
      </c>
      <c r="K19" s="5">
        <f>VLOOKUP(A19,'3c Ukazatel P - pedagogické SP'!$B$10:$I$25,8,0)</f>
        <v>6130497</v>
      </c>
      <c r="L19" s="6">
        <f>SUMIF('3d Ukazatel P - deficitní aprob'!$A$8:$A$22,'4 RO I'!A19,'3d Ukazatel P - deficitní aprob'!$J$8:$J$22)</f>
        <v>1627466</v>
      </c>
      <c r="M19" s="21"/>
      <c r="N19" s="315">
        <f t="shared" ref="N19:N43" si="3">ROUND(SUM(F19,H19,I19:M19),0)</f>
        <v>687826618</v>
      </c>
      <c r="O19" s="706"/>
      <c r="P19" s="894"/>
    </row>
    <row r="20" spans="1:16" x14ac:dyDescent="0.25">
      <c r="A20" s="30">
        <v>13000</v>
      </c>
      <c r="B20" s="34" t="s">
        <v>6</v>
      </c>
      <c r="C20" s="22">
        <v>2.4582741623257617E-2</v>
      </c>
      <c r="D20" s="5">
        <f t="shared" si="0"/>
        <v>441642756</v>
      </c>
      <c r="E20" s="5"/>
      <c r="F20" s="6">
        <f t="shared" si="1"/>
        <v>441642756</v>
      </c>
      <c r="G20" s="36">
        <f>'2c Výkonová část segment 3'!V7</f>
        <v>1.3984000026148457E-2</v>
      </c>
      <c r="H20" s="6">
        <f t="shared" si="2"/>
        <v>53443189</v>
      </c>
      <c r="I20" s="323"/>
      <c r="J20" s="5">
        <f>VLOOKUP(A20,'3b Ukazatel P - Pedagog. fak.'!$A$8:$P$16,16,0)</f>
        <v>11231107</v>
      </c>
      <c r="K20" s="5">
        <f>VLOOKUP(A20,'3c Ukazatel P - pedagogické SP'!$B$10:$I$25,8,0)</f>
        <v>4938366</v>
      </c>
      <c r="L20" s="6">
        <f>SUMIF('3d Ukazatel P - deficitní aprob'!$A$8:$A$22,'4 RO I'!A20,'3d Ukazatel P - deficitní aprob'!$J$8:$J$22)</f>
        <v>1570792</v>
      </c>
      <c r="M20" s="21"/>
      <c r="N20" s="315">
        <f t="shared" si="3"/>
        <v>512826210</v>
      </c>
      <c r="O20" s="706"/>
      <c r="P20" s="894"/>
    </row>
    <row r="21" spans="1:16" x14ac:dyDescent="0.25">
      <c r="A21" s="30">
        <v>14000</v>
      </c>
      <c r="B21" s="34" t="s">
        <v>7</v>
      </c>
      <c r="C21" s="22">
        <v>0.1168226092020371</v>
      </c>
      <c r="D21" s="5">
        <f t="shared" si="0"/>
        <v>2098783767</v>
      </c>
      <c r="E21" s="5"/>
      <c r="F21" s="6">
        <f t="shared" si="1"/>
        <v>2098783767</v>
      </c>
      <c r="G21" s="35">
        <f>'2d Výkonová část segment 4'!V7</f>
        <v>0.12269008177784921</v>
      </c>
      <c r="H21" s="6">
        <f t="shared" si="2"/>
        <v>468889392</v>
      </c>
      <c r="I21" s="323">
        <f>SUMIF('3a Ukazatel P - lékařské fakult'!$A$6:$A$13,'4 RO I'!A21,'3a Ukazatel P - lékařské fakult'!$E$6:$E$13)</f>
        <v>120020131</v>
      </c>
      <c r="J21" s="5">
        <f>VLOOKUP(A21,'3b Ukazatel P - Pedagog. fak.'!$A$8:$P$16,16,0)</f>
        <v>14501618</v>
      </c>
      <c r="K21" s="5">
        <f>VLOOKUP(A21,'3c Ukazatel P - pedagogické SP'!$B$10:$I$25,8,0)</f>
        <v>16868531</v>
      </c>
      <c r="L21" s="6">
        <f>SUMIF('3d Ukazatel P - deficitní aprob'!$A$8:$A$22,'4 RO I'!A21,'3d Ukazatel P - deficitní aprob'!$J$8:$J$22)</f>
        <v>4535620</v>
      </c>
      <c r="M21" s="21"/>
      <c r="N21" s="316">
        <f t="shared" si="3"/>
        <v>2723599059</v>
      </c>
      <c r="O21" s="706"/>
      <c r="P21" s="894"/>
    </row>
    <row r="22" spans="1:16" x14ac:dyDescent="0.25">
      <c r="A22" s="30">
        <v>15000</v>
      </c>
      <c r="B22" s="34" t="s">
        <v>8</v>
      </c>
      <c r="C22" s="22">
        <v>6.3291886180730228E-2</v>
      </c>
      <c r="D22" s="5">
        <f t="shared" si="0"/>
        <v>1137074272</v>
      </c>
      <c r="E22" s="5"/>
      <c r="F22" s="6">
        <f t="shared" si="1"/>
        <v>1137074272</v>
      </c>
      <c r="G22" s="35">
        <f>'2d Výkonová část segment 4'!V8</f>
        <v>7.1664829132528307E-2</v>
      </c>
      <c r="H22" s="6">
        <f t="shared" si="2"/>
        <v>273884226</v>
      </c>
      <c r="I22" s="323">
        <f>SUMIF('3a Ukazatel P - lékařské fakult'!$A$6:$A$13,'4 RO I'!A22,'3a Ukazatel P - lékařské fakult'!$E$6:$E$13)</f>
        <v>66315642</v>
      </c>
      <c r="J22" s="5">
        <f>VLOOKUP(A22,'3b Ukazatel P - Pedagog. fak.'!$A$8:$P$16,16,0)</f>
        <v>10296424</v>
      </c>
      <c r="K22" s="5">
        <f>VLOOKUP(A22,'3c Ukazatel P - pedagogické SP'!$B$10:$I$25,8,0)</f>
        <v>15227833</v>
      </c>
      <c r="L22" s="6">
        <f>SUMIF('3d Ukazatel P - deficitní aprob'!$A$8:$A$22,'4 RO I'!A22,'3d Ukazatel P - deficitní aprob'!$J$8:$J$22)</f>
        <v>6321729</v>
      </c>
      <c r="M22" s="21"/>
      <c r="N22" s="316">
        <f t="shared" si="3"/>
        <v>1509120126</v>
      </c>
      <c r="O22" s="706"/>
      <c r="P22" s="894"/>
    </row>
    <row r="23" spans="1:16" x14ac:dyDescent="0.25">
      <c r="A23" s="30">
        <v>16000</v>
      </c>
      <c r="B23" s="34" t="s">
        <v>335</v>
      </c>
      <c r="C23" s="22">
        <v>1.2314671012166578E-2</v>
      </c>
      <c r="D23" s="5">
        <f t="shared" si="0"/>
        <v>221239979</v>
      </c>
      <c r="E23" s="5"/>
      <c r="F23" s="6">
        <f t="shared" si="1"/>
        <v>221239979</v>
      </c>
      <c r="G23" s="36">
        <f>'2c Výkonová část segment 3'!V8</f>
        <v>8.7739274144635858E-3</v>
      </c>
      <c r="H23" s="6">
        <f t="shared" si="2"/>
        <v>33531655</v>
      </c>
      <c r="I23" s="323"/>
      <c r="J23" s="5"/>
      <c r="K23" s="5"/>
      <c r="L23" s="6"/>
      <c r="M23" s="21"/>
      <c r="N23" s="315">
        <f t="shared" si="3"/>
        <v>254771634</v>
      </c>
      <c r="O23" s="706"/>
      <c r="P23" s="894"/>
    </row>
    <row r="24" spans="1:16" x14ac:dyDescent="0.25">
      <c r="A24" s="30">
        <v>17000</v>
      </c>
      <c r="B24" s="34" t="s">
        <v>9</v>
      </c>
      <c r="C24" s="22">
        <v>2.7883961720174572E-2</v>
      </c>
      <c r="D24" s="5">
        <f t="shared" si="0"/>
        <v>500951028</v>
      </c>
      <c r="E24" s="5"/>
      <c r="F24" s="6">
        <f t="shared" si="1"/>
        <v>500951028</v>
      </c>
      <c r="G24" s="36">
        <f>'2c Výkonová část segment 3'!V9</f>
        <v>2.5202414903603188E-2</v>
      </c>
      <c r="H24" s="6">
        <f t="shared" si="2"/>
        <v>96317036</v>
      </c>
      <c r="I24" s="323">
        <f>SUMIF('3a Ukazatel P - lékařské fakult'!$A$6:$A$13,'4 RO I'!A24,'3a Ukazatel P - lékařské fakult'!$E$6:$E$13)</f>
        <v>31812290</v>
      </c>
      <c r="J24" s="5">
        <f>VLOOKUP(A24,'3b Ukazatel P - Pedagog. fak.'!$A$8:$P$16,16,0)</f>
        <v>7685437</v>
      </c>
      <c r="K24" s="5">
        <f>VLOOKUP(A24,'3c Ukazatel P - pedagogické SP'!$B$10:$I$25,8,0)</f>
        <v>6294140</v>
      </c>
      <c r="L24" s="6">
        <f>SUMIF('3d Ukazatel P - deficitní aprob'!$A$8:$A$22,'4 RO I'!A24,'3d Ukazatel P - deficitní aprob'!$J$8:$J$22)</f>
        <v>4289047</v>
      </c>
      <c r="M24" s="21"/>
      <c r="N24" s="315">
        <f t="shared" si="3"/>
        <v>647348978</v>
      </c>
      <c r="O24" s="706"/>
      <c r="P24" s="894"/>
    </row>
    <row r="25" spans="1:16" x14ac:dyDescent="0.25">
      <c r="A25" s="30">
        <v>18000</v>
      </c>
      <c r="B25" s="34" t="s">
        <v>10</v>
      </c>
      <c r="C25" s="22">
        <v>1.6988869327702848E-2</v>
      </c>
      <c r="D25" s="5">
        <f t="shared" si="0"/>
        <v>305214576</v>
      </c>
      <c r="E25" s="5"/>
      <c r="F25" s="6">
        <f t="shared" si="1"/>
        <v>305214576</v>
      </c>
      <c r="G25" s="36">
        <f>'2c Výkonová část segment 3'!V10</f>
        <v>1.8324978272127718E-2</v>
      </c>
      <c r="H25" s="6">
        <f t="shared" si="2"/>
        <v>70033272</v>
      </c>
      <c r="I25" s="323"/>
      <c r="J25" s="5">
        <f>VLOOKUP(A25,'3b Ukazatel P - Pedagog. fak.'!$A$8:$P$16,16,0)</f>
        <v>14271009</v>
      </c>
      <c r="K25" s="5">
        <f>VLOOKUP(A25,'3c Ukazatel P - pedagogické SP'!$B$10:$I$25,8,0)</f>
        <v>6526325</v>
      </c>
      <c r="L25" s="6">
        <f>SUMIF('3d Ukazatel P - deficitní aprob'!$A$8:$A$22,'4 RO I'!A25,'3d Ukazatel P - deficitní aprob'!$J$8:$J$22)</f>
        <v>3589867</v>
      </c>
      <c r="M25" s="21"/>
      <c r="N25" s="315">
        <f t="shared" si="3"/>
        <v>399635049</v>
      </c>
      <c r="O25" s="706"/>
      <c r="P25" s="894"/>
    </row>
    <row r="26" spans="1:16" x14ac:dyDescent="0.25">
      <c r="A26" s="30">
        <v>19000</v>
      </c>
      <c r="B26" s="34" t="s">
        <v>11</v>
      </c>
      <c r="C26" s="22">
        <v>1.5380770044140011E-2</v>
      </c>
      <c r="D26" s="5">
        <f t="shared" si="0"/>
        <v>276324170</v>
      </c>
      <c r="E26" s="5"/>
      <c r="F26" s="6">
        <f t="shared" si="1"/>
        <v>276324170</v>
      </c>
      <c r="G26" s="36">
        <f>'2c Výkonová část segment 3'!V11</f>
        <v>9.5688921666844777E-3</v>
      </c>
      <c r="H26" s="6">
        <f t="shared" si="2"/>
        <v>36569802</v>
      </c>
      <c r="I26" s="323"/>
      <c r="J26" s="5"/>
      <c r="K26" s="5">
        <f>VLOOKUP(A26,'3c Ukazatel P - pedagogické SP'!$B$10:$I$25,8,0)</f>
        <v>805347</v>
      </c>
      <c r="L26" s="6"/>
      <c r="M26" s="21"/>
      <c r="N26" s="315">
        <f t="shared" si="3"/>
        <v>313699319</v>
      </c>
      <c r="O26" s="706"/>
      <c r="P26" s="894"/>
    </row>
    <row r="27" spans="1:16" x14ac:dyDescent="0.25">
      <c r="A27" s="30">
        <v>21000</v>
      </c>
      <c r="B27" s="34" t="s">
        <v>12</v>
      </c>
      <c r="C27" s="22">
        <v>8.6000149591062336E-2</v>
      </c>
      <c r="D27" s="5">
        <f>ROUND(C27*$C$5,0)</f>
        <v>1545040974</v>
      </c>
      <c r="E27" s="5"/>
      <c r="F27" s="6">
        <f t="shared" si="1"/>
        <v>1545040974</v>
      </c>
      <c r="G27" s="35">
        <f>'2d Výkonová část segment 4'!V9</f>
        <v>8.4948218873833956E-2</v>
      </c>
      <c r="H27" s="6">
        <f t="shared" si="2"/>
        <v>324649867</v>
      </c>
      <c r="I27" s="323"/>
      <c r="J27" s="5"/>
      <c r="K27" s="5">
        <f>VLOOKUP(A27,'3c Ukazatel P - pedagogické SP'!$B$10:$I$25,8,0)</f>
        <v>557337</v>
      </c>
      <c r="L27" s="6">
        <f>SUMIF('3d Ukazatel P - deficitní aprob'!$A$8:$A$22,'4 RO I'!A27,'3d Ukazatel P - deficitní aprob'!$J$8:$J$22)</f>
        <v>2762688</v>
      </c>
      <c r="M27" s="21"/>
      <c r="N27" s="316">
        <f t="shared" si="3"/>
        <v>1873010866</v>
      </c>
      <c r="O27" s="706"/>
      <c r="P27" s="894"/>
    </row>
    <row r="28" spans="1:16" x14ac:dyDescent="0.25">
      <c r="A28" s="30">
        <v>22000</v>
      </c>
      <c r="B28" s="34" t="s">
        <v>13</v>
      </c>
      <c r="C28" s="22">
        <v>2.2861221426518533E-2</v>
      </c>
      <c r="D28" s="5">
        <f t="shared" si="0"/>
        <v>410714679</v>
      </c>
      <c r="E28" s="5"/>
      <c r="F28" s="6">
        <f t="shared" si="1"/>
        <v>410714679</v>
      </c>
      <c r="G28" s="36">
        <f>'2c Výkonová část segment 3'!V12</f>
        <v>3.5306796274293853E-2</v>
      </c>
      <c r="H28" s="6">
        <f t="shared" si="2"/>
        <v>134933338</v>
      </c>
      <c r="I28" s="323"/>
      <c r="J28" s="5"/>
      <c r="K28" s="5">
        <f>VLOOKUP(A28,'3c Ukazatel P - pedagogické SP'!$B$10:$I$25,8,0)</f>
        <v>63063</v>
      </c>
      <c r="L28" s="6">
        <f>SUMIF('3d Ukazatel P - deficitní aprob'!$A$8:$A$22,'4 RO I'!A28,'3d Ukazatel P - deficitní aprob'!$J$8:$J$22)</f>
        <v>326076</v>
      </c>
      <c r="M28" s="21"/>
      <c r="N28" s="315">
        <f t="shared" si="3"/>
        <v>546037156</v>
      </c>
      <c r="O28" s="706"/>
      <c r="P28" s="894"/>
    </row>
    <row r="29" spans="1:16" x14ac:dyDescent="0.25">
      <c r="A29" s="30">
        <v>23000</v>
      </c>
      <c r="B29" s="34" t="s">
        <v>14</v>
      </c>
      <c r="C29" s="22">
        <v>3.7418715986449913E-2</v>
      </c>
      <c r="D29" s="5">
        <f t="shared" si="0"/>
        <v>672248242</v>
      </c>
      <c r="E29" s="5"/>
      <c r="F29" s="6">
        <f t="shared" si="1"/>
        <v>672248242</v>
      </c>
      <c r="G29" s="36">
        <f>'2c Výkonová část segment 3'!V13</f>
        <v>3.364797910673295E-2</v>
      </c>
      <c r="H29" s="6">
        <f t="shared" si="2"/>
        <v>128593772</v>
      </c>
      <c r="I29" s="323"/>
      <c r="J29" s="5">
        <f>VLOOKUP(A29,'3b Ukazatel P - Pedagog. fak.'!$A$8:$P$16,16,0)</f>
        <v>13585808</v>
      </c>
      <c r="K29" s="5">
        <f>VLOOKUP(A29,'3c Ukazatel P - pedagogické SP'!$B$10:$I$25,8,0)</f>
        <v>3976561</v>
      </c>
      <c r="L29" s="6">
        <f>SUMIF('3d Ukazatel P - deficitní aprob'!$A$8:$A$22,'4 RO I'!A29,'3d Ukazatel P - deficitní aprob'!$J$8:$J$22)</f>
        <v>152117</v>
      </c>
      <c r="M29" s="21"/>
      <c r="N29" s="315">
        <f t="shared" si="3"/>
        <v>818556500</v>
      </c>
      <c r="O29" s="706"/>
      <c r="P29" s="894"/>
    </row>
    <row r="30" spans="1:16" x14ac:dyDescent="0.25">
      <c r="A30" s="30">
        <v>24000</v>
      </c>
      <c r="B30" s="34" t="s">
        <v>15</v>
      </c>
      <c r="C30" s="22">
        <v>2.1809672008994151E-2</v>
      </c>
      <c r="D30" s="5">
        <f t="shared" si="0"/>
        <v>391823003</v>
      </c>
      <c r="E30" s="5"/>
      <c r="F30" s="6">
        <f t="shared" si="1"/>
        <v>391823003</v>
      </c>
      <c r="G30" s="36">
        <f>'2c Výkonová část segment 3'!V14</f>
        <v>1.7026025170160847E-2</v>
      </c>
      <c r="H30" s="6">
        <f t="shared" si="2"/>
        <v>65069013</v>
      </c>
      <c r="I30" s="323"/>
      <c r="J30" s="5">
        <f>VLOOKUP(A30,'3b Ukazatel P - Pedagog. fak.'!$A$8:$P$16,16,0)</f>
        <v>11258050</v>
      </c>
      <c r="K30" s="5">
        <f>VLOOKUP(A30,'3c Ukazatel P - pedagogické SP'!$B$10:$I$25,8,0)</f>
        <v>3417675</v>
      </c>
      <c r="L30" s="6"/>
      <c r="M30" s="21"/>
      <c r="N30" s="315">
        <f t="shared" si="3"/>
        <v>471567741</v>
      </c>
      <c r="O30" s="706"/>
      <c r="P30" s="894"/>
    </row>
    <row r="31" spans="1:16" x14ac:dyDescent="0.25">
      <c r="A31" s="30">
        <v>25000</v>
      </c>
      <c r="B31" s="34" t="s">
        <v>16</v>
      </c>
      <c r="C31" s="22">
        <v>2.6156400983062163E-2</v>
      </c>
      <c r="D31" s="5">
        <f t="shared" si="0"/>
        <v>469914430</v>
      </c>
      <c r="E31" s="5"/>
      <c r="F31" s="6">
        <f>D31-E31</f>
        <v>469914430</v>
      </c>
      <c r="G31" s="36">
        <f>'2c Výkonová část segment 3'!V15</f>
        <v>2.0812716188559188E-2</v>
      </c>
      <c r="H31" s="6">
        <f t="shared" si="2"/>
        <v>79540756</v>
      </c>
      <c r="I31" s="323"/>
      <c r="J31" s="5"/>
      <c r="K31" s="5">
        <f>VLOOKUP(A31,'3c Ukazatel P - pedagogické SP'!$B$10:$I$25,8,0)</f>
        <v>462020</v>
      </c>
      <c r="L31" s="6"/>
      <c r="M31" s="21"/>
      <c r="N31" s="315">
        <f t="shared" si="3"/>
        <v>549917206</v>
      </c>
      <c r="O31" s="706"/>
      <c r="P31" s="894"/>
    </row>
    <row r="32" spans="1:16" x14ac:dyDescent="0.25">
      <c r="A32" s="30">
        <v>26000</v>
      </c>
      <c r="B32" s="34" t="s">
        <v>17</v>
      </c>
      <c r="C32" s="22">
        <v>6.9372909625618692E-2</v>
      </c>
      <c r="D32" s="5">
        <f t="shared" si="0"/>
        <v>1246323273</v>
      </c>
      <c r="E32" s="5"/>
      <c r="F32" s="6">
        <f t="shared" si="1"/>
        <v>1246323273</v>
      </c>
      <c r="G32" s="35">
        <f>'2d Výkonová část segment 4'!V10</f>
        <v>6.3870903223386441E-2</v>
      </c>
      <c r="H32" s="6">
        <f t="shared" si="2"/>
        <v>244097881</v>
      </c>
      <c r="I32" s="323"/>
      <c r="J32" s="5"/>
      <c r="K32" s="5"/>
      <c r="L32" s="6"/>
      <c r="M32" s="21"/>
      <c r="N32" s="316">
        <f t="shared" si="3"/>
        <v>1490421154</v>
      </c>
      <c r="O32" s="706"/>
      <c r="P32" s="894"/>
    </row>
    <row r="33" spans="1:16" x14ac:dyDescent="0.25">
      <c r="A33" s="30">
        <v>27000</v>
      </c>
      <c r="B33" s="34" t="s">
        <v>18</v>
      </c>
      <c r="C33" s="22">
        <v>4.8347993229739039E-2</v>
      </c>
      <c r="D33" s="5">
        <f t="shared" si="0"/>
        <v>868598845</v>
      </c>
      <c r="E33" s="5"/>
      <c r="F33" s="6">
        <f t="shared" si="1"/>
        <v>868598845</v>
      </c>
      <c r="G33" s="36">
        <f>'2c Výkonová část segment 3'!V16</f>
        <v>3.5274988173596193E-2</v>
      </c>
      <c r="H33" s="6">
        <f t="shared" si="2"/>
        <v>134811775</v>
      </c>
      <c r="I33" s="323"/>
      <c r="J33" s="5"/>
      <c r="K33" s="5"/>
      <c r="L33" s="6"/>
      <c r="M33" s="21"/>
      <c r="N33" s="315">
        <f t="shared" si="3"/>
        <v>1003410620</v>
      </c>
      <c r="O33" s="706"/>
      <c r="P33" s="894"/>
    </row>
    <row r="34" spans="1:16" x14ac:dyDescent="0.25">
      <c r="A34" s="30">
        <v>28000</v>
      </c>
      <c r="B34" s="34" t="s">
        <v>19</v>
      </c>
      <c r="C34" s="22">
        <v>3.1624516501885302E-2</v>
      </c>
      <c r="D34" s="5">
        <f>ROUND(C34*$C$5+0.1,0)</f>
        <v>568152195</v>
      </c>
      <c r="E34" s="5"/>
      <c r="F34" s="6">
        <f t="shared" si="1"/>
        <v>568152195</v>
      </c>
      <c r="G34" s="36">
        <f>'2c Výkonová část segment 3'!V17</f>
        <v>2.3642882755213313E-2</v>
      </c>
      <c r="H34" s="6">
        <f t="shared" si="2"/>
        <v>90356912</v>
      </c>
      <c r="I34" s="323"/>
      <c r="J34" s="5"/>
      <c r="K34" s="5">
        <f>VLOOKUP(A34,'3c Ukazatel P - pedagogické SP'!$B$10:$I$25,8,0)</f>
        <v>3494985</v>
      </c>
      <c r="L34" s="6">
        <f>SUMIF('3d Ukazatel P - deficitní aprob'!$A$8:$A$22,'4 RO I'!A34,'3d Ukazatel P - deficitní aprob'!$J$8:$J$22)</f>
        <v>462534</v>
      </c>
      <c r="M34" s="21"/>
      <c r="N34" s="315">
        <f t="shared" si="3"/>
        <v>662466626</v>
      </c>
      <c r="O34" s="706"/>
      <c r="P34" s="894"/>
    </row>
    <row r="35" spans="1:16" x14ac:dyDescent="0.25">
      <c r="A35" s="30">
        <v>31000</v>
      </c>
      <c r="B35" s="34" t="s">
        <v>20</v>
      </c>
      <c r="C35" s="22">
        <v>3.6223762423103448E-2</v>
      </c>
      <c r="D35" s="5">
        <f t="shared" si="0"/>
        <v>650780231</v>
      </c>
      <c r="E35" s="5"/>
      <c r="F35" s="6">
        <f t="shared" si="1"/>
        <v>650780231</v>
      </c>
      <c r="G35" s="36">
        <f>'2c Výkonová část segment 3'!V18</f>
        <v>3.4107363550985301E-2</v>
      </c>
      <c r="H35" s="6">
        <f t="shared" si="2"/>
        <v>130349420</v>
      </c>
      <c r="I35" s="323"/>
      <c r="J35" s="5"/>
      <c r="K35" s="5"/>
      <c r="L35" s="6"/>
      <c r="M35" s="21">
        <v>6800000</v>
      </c>
      <c r="N35" s="315">
        <f t="shared" si="3"/>
        <v>787929651</v>
      </c>
      <c r="O35" s="706"/>
      <c r="P35" s="894"/>
    </row>
    <row r="36" spans="1:16" x14ac:dyDescent="0.25">
      <c r="A36" s="30">
        <v>41000</v>
      </c>
      <c r="B36" s="34" t="s">
        <v>21</v>
      </c>
      <c r="C36" s="22">
        <v>5.0773398703077011E-2</v>
      </c>
      <c r="D36" s="5">
        <f t="shared" si="0"/>
        <v>912172616</v>
      </c>
      <c r="E36" s="5"/>
      <c r="F36" s="6">
        <f t="shared" si="1"/>
        <v>912172616</v>
      </c>
      <c r="G36" s="36">
        <f>'2c Výkonová část segment 3'!V19</f>
        <v>5.1675947451986372E-2</v>
      </c>
      <c r="H36" s="6">
        <f>ROUND(G36*$C$6-0.2,0)</f>
        <v>197491950</v>
      </c>
      <c r="I36" s="323"/>
      <c r="J36" s="5"/>
      <c r="K36" s="5">
        <f>VLOOKUP(A36,'3c Ukazatel P - pedagogické SP'!$B$10:$I$25,8,0)</f>
        <v>1211375</v>
      </c>
      <c r="L36" s="6"/>
      <c r="M36" s="21"/>
      <c r="N36" s="315">
        <f t="shared" si="3"/>
        <v>1110875941</v>
      </c>
      <c r="O36" s="706"/>
      <c r="P36" s="894"/>
    </row>
    <row r="37" spans="1:16" x14ac:dyDescent="0.25">
      <c r="A37" s="30">
        <v>43000</v>
      </c>
      <c r="B37" s="34" t="s">
        <v>22</v>
      </c>
      <c r="C37" s="22">
        <v>2.9669895062079548E-2</v>
      </c>
      <c r="D37" s="5">
        <f t="shared" si="0"/>
        <v>533036324</v>
      </c>
      <c r="E37" s="5"/>
      <c r="F37" s="6">
        <f t="shared" si="1"/>
        <v>533036324</v>
      </c>
      <c r="G37" s="36">
        <f>'2c Výkonová část segment 3'!V20</f>
        <v>3.261511120992959E-2</v>
      </c>
      <c r="H37" s="6">
        <f>ROUND(G37*$C$6-0.2,0)</f>
        <v>124646421</v>
      </c>
      <c r="I37" s="323"/>
      <c r="J37" s="5"/>
      <c r="K37" s="5">
        <f>VLOOKUP(A37,'3c Ukazatel P - pedagogické SP'!$B$10:$I$25,8,0)</f>
        <v>728110</v>
      </c>
      <c r="L37" s="6"/>
      <c r="M37" s="21"/>
      <c r="N37" s="315">
        <f t="shared" si="3"/>
        <v>658410855</v>
      </c>
      <c r="O37" s="706"/>
      <c r="P37" s="894"/>
    </row>
    <row r="38" spans="1:16" x14ac:dyDescent="0.25">
      <c r="A38" s="30">
        <v>51000</v>
      </c>
      <c r="B38" s="34" t="s">
        <v>23</v>
      </c>
      <c r="C38" s="22">
        <v>1.772E-2</v>
      </c>
      <c r="D38" s="5">
        <f t="shared" si="0"/>
        <v>318349749</v>
      </c>
      <c r="E38" s="5"/>
      <c r="F38" s="6">
        <f t="shared" si="1"/>
        <v>318349749</v>
      </c>
      <c r="G38" s="36">
        <f>'2a Výkonová část segment 1'!R6</f>
        <v>2.0953513875747908E-2</v>
      </c>
      <c r="H38" s="6">
        <f t="shared" si="2"/>
        <v>80078848</v>
      </c>
      <c r="I38" s="323"/>
      <c r="J38" s="5"/>
      <c r="K38" s="5"/>
      <c r="L38" s="6"/>
      <c r="M38" s="21"/>
      <c r="N38" s="317">
        <f t="shared" si="3"/>
        <v>398428597</v>
      </c>
      <c r="O38" s="706"/>
      <c r="P38" s="894"/>
    </row>
    <row r="39" spans="1:16" x14ac:dyDescent="0.25">
      <c r="A39" s="30">
        <v>52000</v>
      </c>
      <c r="B39" s="34" t="s">
        <v>24</v>
      </c>
      <c r="C39" s="22">
        <v>4.8399999999999997E-3</v>
      </c>
      <c r="D39" s="5">
        <f t="shared" si="0"/>
        <v>86953318</v>
      </c>
      <c r="E39" s="5"/>
      <c r="F39" s="6">
        <f t="shared" si="1"/>
        <v>86953318</v>
      </c>
      <c r="G39" s="36">
        <f>'2a Výkonová část segment 1'!R7</f>
        <v>5.86837295404461E-3</v>
      </c>
      <c r="H39" s="6">
        <f t="shared" si="2"/>
        <v>22427386</v>
      </c>
      <c r="I39" s="323"/>
      <c r="J39" s="5"/>
      <c r="K39" s="5"/>
      <c r="L39" s="6"/>
      <c r="M39" s="21"/>
      <c r="N39" s="317">
        <f t="shared" si="3"/>
        <v>109380704</v>
      </c>
      <c r="O39" s="706"/>
      <c r="P39" s="894"/>
    </row>
    <row r="40" spans="1:16" x14ac:dyDescent="0.25">
      <c r="A40" s="30">
        <v>53000</v>
      </c>
      <c r="B40" s="34" t="s">
        <v>25</v>
      </c>
      <c r="C40" s="22">
        <v>6.8000000000000005E-3</v>
      </c>
      <c r="D40" s="5">
        <f t="shared" si="0"/>
        <v>122165818</v>
      </c>
      <c r="E40" s="5"/>
      <c r="F40" s="6">
        <f t="shared" si="1"/>
        <v>122165818</v>
      </c>
      <c r="G40" s="36">
        <f>'2a Výkonová část segment 1'!R8</f>
        <v>1.0826934004247122E-2</v>
      </c>
      <c r="H40" s="6">
        <f t="shared" si="2"/>
        <v>41377709</v>
      </c>
      <c r="I40" s="323"/>
      <c r="J40" s="5"/>
      <c r="K40" s="5"/>
      <c r="L40" s="6"/>
      <c r="M40" s="21"/>
      <c r="N40" s="317">
        <f t="shared" si="3"/>
        <v>163543527</v>
      </c>
      <c r="O40" s="706"/>
      <c r="P40" s="894"/>
    </row>
    <row r="41" spans="1:16" x14ac:dyDescent="0.25">
      <c r="A41" s="30">
        <v>54000</v>
      </c>
      <c r="B41" s="34" t="s">
        <v>347</v>
      </c>
      <c r="C41" s="22">
        <v>1.064E-2</v>
      </c>
      <c r="D41" s="5">
        <f t="shared" si="0"/>
        <v>191153574</v>
      </c>
      <c r="E41" s="5"/>
      <c r="F41" s="6">
        <f t="shared" si="1"/>
        <v>191153574</v>
      </c>
      <c r="G41" s="36">
        <f>'2a Výkonová část segment 1'!R9</f>
        <v>9.66706927089119E-3</v>
      </c>
      <c r="H41" s="6">
        <f t="shared" si="2"/>
        <v>36945009</v>
      </c>
      <c r="I41" s="323"/>
      <c r="J41" s="5"/>
      <c r="K41" s="5"/>
      <c r="L41" s="6"/>
      <c r="M41" s="21"/>
      <c r="N41" s="317">
        <f t="shared" si="3"/>
        <v>228098583</v>
      </c>
      <c r="O41" s="706"/>
      <c r="P41" s="894"/>
    </row>
    <row r="42" spans="1:16" x14ac:dyDescent="0.25">
      <c r="A42" s="30">
        <v>55000</v>
      </c>
      <c r="B42" s="34" t="s">
        <v>26</v>
      </c>
      <c r="C42" s="22">
        <v>5.8242555510266344E-3</v>
      </c>
      <c r="D42" s="5">
        <f t="shared" si="0"/>
        <v>104636021</v>
      </c>
      <c r="E42" s="5"/>
      <c r="F42" s="6">
        <f t="shared" si="1"/>
        <v>104636021</v>
      </c>
      <c r="G42" s="4">
        <f>'2b Výkonová část segment 2'!J6</f>
        <v>6.2852938398657143E-3</v>
      </c>
      <c r="H42" s="6">
        <f t="shared" si="2"/>
        <v>24020749</v>
      </c>
      <c r="I42" s="323"/>
      <c r="J42" s="5"/>
      <c r="K42" s="5"/>
      <c r="L42" s="6"/>
      <c r="M42" s="21"/>
      <c r="N42" s="318">
        <f t="shared" si="3"/>
        <v>128656770</v>
      </c>
      <c r="O42" s="706"/>
      <c r="P42" s="894"/>
    </row>
    <row r="43" spans="1:16" ht="15" customHeight="1" thickBot="1" x14ac:dyDescent="0.3">
      <c r="A43" s="37">
        <v>56000</v>
      </c>
      <c r="B43" s="38" t="s">
        <v>27</v>
      </c>
      <c r="C43" s="39">
        <v>8.1329114759375667E-3</v>
      </c>
      <c r="D43" s="7">
        <f t="shared" si="0"/>
        <v>146112321</v>
      </c>
      <c r="E43" s="7"/>
      <c r="F43" s="8">
        <f t="shared" si="1"/>
        <v>146112321</v>
      </c>
      <c r="G43" s="4">
        <f>'2b Výkonová část segment 2'!J7</f>
        <v>6.9926319677105515E-3</v>
      </c>
      <c r="H43" s="8">
        <f t="shared" si="2"/>
        <v>26724010</v>
      </c>
      <c r="I43" s="325"/>
      <c r="J43" s="7"/>
      <c r="K43" s="7"/>
      <c r="L43" s="8"/>
      <c r="M43" s="23"/>
      <c r="N43" s="319">
        <f t="shared" si="3"/>
        <v>172836331</v>
      </c>
      <c r="O43" s="706"/>
      <c r="P43" s="894"/>
    </row>
    <row r="44" spans="1:16" ht="15.75" thickBot="1" x14ac:dyDescent="0.3">
      <c r="A44" s="1046" t="s">
        <v>28</v>
      </c>
      <c r="B44" s="1050"/>
      <c r="C44" s="25">
        <f t="shared" ref="C44:N44" si="4">SUM(C18:C43)</f>
        <v>0.99999999999999956</v>
      </c>
      <c r="D44" s="10">
        <f t="shared" si="4"/>
        <v>17965561474</v>
      </c>
      <c r="E44" s="10">
        <f t="shared" si="4"/>
        <v>0</v>
      </c>
      <c r="F44" s="11">
        <f t="shared" si="4"/>
        <v>17965561474</v>
      </c>
      <c r="G44" s="9">
        <f t="shared" si="4"/>
        <v>1</v>
      </c>
      <c r="H44" s="11">
        <f t="shared" si="4"/>
        <v>3821738358</v>
      </c>
      <c r="I44" s="326">
        <f t="shared" si="4"/>
        <v>600000000</v>
      </c>
      <c r="J44" s="10">
        <f t="shared" si="4"/>
        <v>115000000</v>
      </c>
      <c r="K44" s="10">
        <f t="shared" si="4"/>
        <v>85000000</v>
      </c>
      <c r="L44" s="11">
        <f t="shared" si="4"/>
        <v>30000000</v>
      </c>
      <c r="M44" s="24">
        <f t="shared" si="4"/>
        <v>6800000</v>
      </c>
      <c r="N44" s="324">
        <f t="shared" si="4"/>
        <v>22624099832</v>
      </c>
      <c r="O44" s="706"/>
    </row>
    <row r="45" spans="1:16" ht="18" x14ac:dyDescent="0.3">
      <c r="A45" s="26"/>
      <c r="B45" s="16"/>
      <c r="C45" s="16"/>
      <c r="D45" s="16"/>
      <c r="E45" s="16"/>
      <c r="F45" s="16"/>
      <c r="G45" s="16"/>
      <c r="H45" s="27"/>
      <c r="I45" s="16"/>
    </row>
    <row r="47" spans="1:16" x14ac:dyDescent="0.25">
      <c r="A47" s="710" t="s">
        <v>280</v>
      </c>
      <c r="D47" s="706"/>
    </row>
    <row r="48" spans="1:16" x14ac:dyDescent="0.25">
      <c r="D48" s="706"/>
    </row>
    <row r="49" spans="4:4" x14ac:dyDescent="0.25">
      <c r="D49" s="706"/>
    </row>
    <row r="50" spans="4:4" x14ac:dyDescent="0.25">
      <c r="D50" s="706"/>
    </row>
    <row r="51" spans="4:4" x14ac:dyDescent="0.25">
      <c r="D51" s="706"/>
    </row>
    <row r="52" spans="4:4" x14ac:dyDescent="0.25">
      <c r="D52" s="706"/>
    </row>
    <row r="53" spans="4:4" x14ac:dyDescent="0.25">
      <c r="D53" s="706"/>
    </row>
    <row r="54" spans="4:4" x14ac:dyDescent="0.25">
      <c r="D54" s="706"/>
    </row>
    <row r="55" spans="4:4" x14ac:dyDescent="0.25">
      <c r="D55" s="706"/>
    </row>
    <row r="56" spans="4:4" x14ac:dyDescent="0.25">
      <c r="D56" s="706"/>
    </row>
    <row r="57" spans="4:4" x14ac:dyDescent="0.25">
      <c r="D57" s="706"/>
    </row>
    <row r="58" spans="4:4" x14ac:dyDescent="0.25">
      <c r="D58" s="706"/>
    </row>
    <row r="59" spans="4:4" x14ac:dyDescent="0.25">
      <c r="D59" s="706"/>
    </row>
    <row r="60" spans="4:4" x14ac:dyDescent="0.25">
      <c r="D60" s="706"/>
    </row>
    <row r="61" spans="4:4" x14ac:dyDescent="0.25">
      <c r="D61" s="706"/>
    </row>
    <row r="62" spans="4:4" x14ac:dyDescent="0.25">
      <c r="D62" s="706"/>
    </row>
    <row r="63" spans="4:4" x14ac:dyDescent="0.25">
      <c r="D63" s="706"/>
    </row>
    <row r="64" spans="4:4" x14ac:dyDescent="0.25">
      <c r="D64" s="706"/>
    </row>
    <row r="65" spans="4:4" x14ac:dyDescent="0.25">
      <c r="D65" s="706"/>
    </row>
    <row r="66" spans="4:4" x14ac:dyDescent="0.25">
      <c r="D66" s="706"/>
    </row>
    <row r="67" spans="4:4" x14ac:dyDescent="0.25">
      <c r="D67" s="706"/>
    </row>
    <row r="68" spans="4:4" x14ac:dyDescent="0.25">
      <c r="D68" s="706"/>
    </row>
    <row r="69" spans="4:4" x14ac:dyDescent="0.25">
      <c r="D69" s="706"/>
    </row>
    <row r="70" spans="4:4" x14ac:dyDescent="0.25">
      <c r="D70" s="706"/>
    </row>
    <row r="71" spans="4:4" x14ac:dyDescent="0.25">
      <c r="D71" s="706"/>
    </row>
    <row r="72" spans="4:4" x14ac:dyDescent="0.25">
      <c r="D72" s="706"/>
    </row>
    <row r="73" spans="4:4" x14ac:dyDescent="0.25">
      <c r="D73" s="706"/>
    </row>
  </sheetData>
  <mergeCells count="18">
    <mergeCell ref="M16:M17"/>
    <mergeCell ref="L16:L17"/>
    <mergeCell ref="A44:B44"/>
    <mergeCell ref="C16:C17"/>
    <mergeCell ref="B15:B17"/>
    <mergeCell ref="A15:A17"/>
    <mergeCell ref="N15:N17"/>
    <mergeCell ref="J16:J17"/>
    <mergeCell ref="I16:I17"/>
    <mergeCell ref="E16:E17"/>
    <mergeCell ref="D16:D17"/>
    <mergeCell ref="C15:F15"/>
    <mergeCell ref="G15:H15"/>
    <mergeCell ref="H16:H17"/>
    <mergeCell ref="G16:G17"/>
    <mergeCell ref="F16:F17"/>
    <mergeCell ref="I15:M15"/>
    <mergeCell ref="K16:K17"/>
  </mergeCells>
  <hyperlinks>
    <hyperlink ref="A47" location="'0 Seznam'!A1" display="Seznam" xr:uid="{2DA5C60E-B7A3-486B-B3EF-A15D8A74DA0F}"/>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ignoredErrors>
    <ignoredError sqref="D3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D39"/>
  <sheetViews>
    <sheetView zoomScale="85" zoomScaleNormal="85" workbookViewId="0">
      <selection activeCell="A39" sqref="A39"/>
    </sheetView>
  </sheetViews>
  <sheetFormatPr defaultRowHeight="15" x14ac:dyDescent="0.25"/>
  <cols>
    <col min="1" max="1" width="11.5703125" customWidth="1"/>
    <col min="2" max="2" width="63.7109375" customWidth="1"/>
    <col min="3" max="4" width="20.7109375" customWidth="1"/>
    <col min="8" max="8" width="17" customWidth="1"/>
    <col min="9" max="9" width="34" customWidth="1"/>
  </cols>
  <sheetData>
    <row r="1" spans="1:4" ht="27.75" x14ac:dyDescent="0.25">
      <c r="A1" s="1141" t="s">
        <v>97</v>
      </c>
      <c r="B1" s="1141"/>
      <c r="C1" s="1141"/>
      <c r="D1" s="1141"/>
    </row>
    <row r="2" spans="1:4" ht="19.5" x14ac:dyDescent="0.25">
      <c r="A2" s="258"/>
      <c r="B2" s="258"/>
      <c r="C2" s="258"/>
      <c r="D2" s="258"/>
    </row>
    <row r="3" spans="1:4" ht="20.25" x14ac:dyDescent="0.25">
      <c r="A3" s="259" t="s">
        <v>295</v>
      </c>
      <c r="B3" s="258"/>
      <c r="C3" s="258"/>
      <c r="D3" s="258"/>
    </row>
    <row r="4" spans="1:4" ht="26.25" x14ac:dyDescent="0.25">
      <c r="A4" s="260"/>
      <c r="B4" s="260"/>
      <c r="C4" s="260"/>
      <c r="D4" s="260"/>
    </row>
    <row r="5" spans="1:4" x14ac:dyDescent="0.25">
      <c r="A5" s="261"/>
      <c r="B5" s="262" t="s">
        <v>98</v>
      </c>
      <c r="C5" s="263">
        <v>13500</v>
      </c>
      <c r="D5" s="264" t="s">
        <v>99</v>
      </c>
    </row>
    <row r="6" spans="1:4" x14ac:dyDescent="0.25">
      <c r="A6" s="265"/>
      <c r="B6" s="262" t="s">
        <v>100</v>
      </c>
      <c r="C6" s="263">
        <v>135000</v>
      </c>
      <c r="D6" s="264" t="s">
        <v>101</v>
      </c>
    </row>
    <row r="7" spans="1:4" x14ac:dyDescent="0.25">
      <c r="A7" s="265"/>
      <c r="B7" s="266"/>
      <c r="C7" s="267"/>
      <c r="D7" s="267"/>
    </row>
    <row r="8" spans="1:4" ht="15.75" thickBot="1" x14ac:dyDescent="0.3">
      <c r="A8" s="268"/>
      <c r="B8" s="268"/>
      <c r="C8" s="268"/>
      <c r="D8" s="269" t="s">
        <v>0</v>
      </c>
    </row>
    <row r="9" spans="1:4" ht="45.75" thickBot="1" x14ac:dyDescent="0.3">
      <c r="A9" s="270" t="s">
        <v>2</v>
      </c>
      <c r="B9" s="271" t="s">
        <v>3</v>
      </c>
      <c r="C9" s="272" t="s">
        <v>283</v>
      </c>
      <c r="D9" s="273" t="s">
        <v>102</v>
      </c>
    </row>
    <row r="10" spans="1:4" x14ac:dyDescent="0.25">
      <c r="A10" s="274">
        <v>11000</v>
      </c>
      <c r="B10" s="275" t="s">
        <v>4</v>
      </c>
      <c r="C10" s="276">
        <v>3845</v>
      </c>
      <c r="D10" s="277">
        <f>C10*$C$6</f>
        <v>519075000</v>
      </c>
    </row>
    <row r="11" spans="1:4" x14ac:dyDescent="0.25">
      <c r="A11" s="274">
        <v>12000</v>
      </c>
      <c r="B11" s="275" t="s">
        <v>5</v>
      </c>
      <c r="C11" s="276">
        <v>393</v>
      </c>
      <c r="D11" s="278">
        <f t="shared" ref="D11:D35" si="0">C11*$C$6</f>
        <v>53055000</v>
      </c>
    </row>
    <row r="12" spans="1:4" x14ac:dyDescent="0.25">
      <c r="A12" s="274">
        <v>13000</v>
      </c>
      <c r="B12" s="275" t="s">
        <v>6</v>
      </c>
      <c r="C12" s="276">
        <v>149</v>
      </c>
      <c r="D12" s="278">
        <f t="shared" si="0"/>
        <v>20115000</v>
      </c>
    </row>
    <row r="13" spans="1:4" x14ac:dyDescent="0.25">
      <c r="A13" s="274">
        <v>14000</v>
      </c>
      <c r="B13" s="275" t="s">
        <v>7</v>
      </c>
      <c r="C13" s="276">
        <v>1796</v>
      </c>
      <c r="D13" s="278">
        <f t="shared" si="0"/>
        <v>242460000</v>
      </c>
    </row>
    <row r="14" spans="1:4" x14ac:dyDescent="0.25">
      <c r="A14" s="274">
        <v>15000</v>
      </c>
      <c r="B14" s="275" t="s">
        <v>8</v>
      </c>
      <c r="C14" s="276">
        <v>892</v>
      </c>
      <c r="D14" s="278">
        <f t="shared" si="0"/>
        <v>120420000</v>
      </c>
    </row>
    <row r="15" spans="1:4" x14ac:dyDescent="0.25">
      <c r="A15" s="274">
        <v>16000</v>
      </c>
      <c r="B15" s="275" t="s">
        <v>335</v>
      </c>
      <c r="C15" s="276">
        <v>93</v>
      </c>
      <c r="D15" s="278">
        <f t="shared" si="0"/>
        <v>12555000</v>
      </c>
    </row>
    <row r="16" spans="1:4" x14ac:dyDescent="0.25">
      <c r="A16" s="274">
        <v>17000</v>
      </c>
      <c r="B16" s="275" t="s">
        <v>9</v>
      </c>
      <c r="C16" s="276">
        <v>206</v>
      </c>
      <c r="D16" s="278">
        <f t="shared" si="0"/>
        <v>27810000</v>
      </c>
    </row>
    <row r="17" spans="1:4" x14ac:dyDescent="0.25">
      <c r="A17" s="274">
        <v>18000</v>
      </c>
      <c r="B17" s="275" t="s">
        <v>10</v>
      </c>
      <c r="C17" s="276">
        <v>113</v>
      </c>
      <c r="D17" s="278">
        <f t="shared" si="0"/>
        <v>15255000</v>
      </c>
    </row>
    <row r="18" spans="1:4" x14ac:dyDescent="0.25">
      <c r="A18" s="274">
        <v>19000</v>
      </c>
      <c r="B18" s="275" t="s">
        <v>11</v>
      </c>
      <c r="C18" s="276">
        <v>45</v>
      </c>
      <c r="D18" s="278">
        <f t="shared" si="0"/>
        <v>6075000</v>
      </c>
    </row>
    <row r="19" spans="1:4" x14ac:dyDescent="0.25">
      <c r="A19" s="274">
        <v>21000</v>
      </c>
      <c r="B19" s="275" t="s">
        <v>12</v>
      </c>
      <c r="C19" s="276">
        <v>1088</v>
      </c>
      <c r="D19" s="278">
        <f t="shared" si="0"/>
        <v>146880000</v>
      </c>
    </row>
    <row r="20" spans="1:4" x14ac:dyDescent="0.25">
      <c r="A20" s="274">
        <v>22000</v>
      </c>
      <c r="B20" s="275" t="s">
        <v>13</v>
      </c>
      <c r="C20" s="276">
        <v>612</v>
      </c>
      <c r="D20" s="278">
        <f t="shared" si="0"/>
        <v>82620000</v>
      </c>
    </row>
    <row r="21" spans="1:4" x14ac:dyDescent="0.25">
      <c r="A21" s="274">
        <v>23000</v>
      </c>
      <c r="B21" s="275" t="s">
        <v>14</v>
      </c>
      <c r="C21" s="276">
        <v>308</v>
      </c>
      <c r="D21" s="278">
        <f t="shared" si="0"/>
        <v>41580000</v>
      </c>
    </row>
    <row r="22" spans="1:4" x14ac:dyDescent="0.25">
      <c r="A22" s="274">
        <v>24000</v>
      </c>
      <c r="B22" s="275" t="s">
        <v>15</v>
      </c>
      <c r="C22" s="276">
        <v>154</v>
      </c>
      <c r="D22" s="278">
        <f t="shared" si="0"/>
        <v>20790000</v>
      </c>
    </row>
    <row r="23" spans="1:4" x14ac:dyDescent="0.25">
      <c r="A23" s="274">
        <v>25000</v>
      </c>
      <c r="B23" s="275" t="s">
        <v>16</v>
      </c>
      <c r="C23" s="276">
        <v>171</v>
      </c>
      <c r="D23" s="278">
        <f t="shared" si="0"/>
        <v>23085000</v>
      </c>
    </row>
    <row r="24" spans="1:4" x14ac:dyDescent="0.25">
      <c r="A24" s="274">
        <v>26000</v>
      </c>
      <c r="B24" s="275" t="s">
        <v>17</v>
      </c>
      <c r="C24" s="276">
        <v>943</v>
      </c>
      <c r="D24" s="278">
        <f t="shared" si="0"/>
        <v>127305000</v>
      </c>
    </row>
    <row r="25" spans="1:4" x14ac:dyDescent="0.25">
      <c r="A25" s="274">
        <v>27000</v>
      </c>
      <c r="B25" s="275" t="s">
        <v>18</v>
      </c>
      <c r="C25" s="276">
        <v>514</v>
      </c>
      <c r="D25" s="278">
        <f t="shared" si="0"/>
        <v>69390000</v>
      </c>
    </row>
    <row r="26" spans="1:4" x14ac:dyDescent="0.25">
      <c r="A26" s="274">
        <v>28000</v>
      </c>
      <c r="B26" s="275" t="s">
        <v>19</v>
      </c>
      <c r="C26" s="276">
        <v>172</v>
      </c>
      <c r="D26" s="278">
        <f t="shared" si="0"/>
        <v>23220000</v>
      </c>
    </row>
    <row r="27" spans="1:4" x14ac:dyDescent="0.25">
      <c r="A27" s="274">
        <v>31000</v>
      </c>
      <c r="B27" s="275" t="s">
        <v>20</v>
      </c>
      <c r="C27" s="276">
        <v>200</v>
      </c>
      <c r="D27" s="278">
        <f t="shared" si="0"/>
        <v>27000000</v>
      </c>
    </row>
    <row r="28" spans="1:4" x14ac:dyDescent="0.25">
      <c r="A28" s="274">
        <v>41000</v>
      </c>
      <c r="B28" s="275" t="s">
        <v>21</v>
      </c>
      <c r="C28" s="276">
        <v>670</v>
      </c>
      <c r="D28" s="278">
        <f t="shared" si="0"/>
        <v>90450000</v>
      </c>
    </row>
    <row r="29" spans="1:4" x14ac:dyDescent="0.25">
      <c r="A29" s="274">
        <v>43000</v>
      </c>
      <c r="B29" s="275" t="s">
        <v>22</v>
      </c>
      <c r="C29" s="276">
        <v>327</v>
      </c>
      <c r="D29" s="278">
        <f t="shared" si="0"/>
        <v>44145000</v>
      </c>
    </row>
    <row r="30" spans="1:4" x14ac:dyDescent="0.25">
      <c r="A30" s="274">
        <v>51000</v>
      </c>
      <c r="B30" s="275" t="s">
        <v>23</v>
      </c>
      <c r="C30" s="276">
        <v>84</v>
      </c>
      <c r="D30" s="278">
        <f t="shared" si="0"/>
        <v>11340000</v>
      </c>
    </row>
    <row r="31" spans="1:4" x14ac:dyDescent="0.25">
      <c r="A31" s="274">
        <v>52000</v>
      </c>
      <c r="B31" s="275" t="s">
        <v>24</v>
      </c>
      <c r="C31" s="276">
        <v>22</v>
      </c>
      <c r="D31" s="278">
        <f t="shared" si="0"/>
        <v>2970000</v>
      </c>
    </row>
    <row r="32" spans="1:4" x14ac:dyDescent="0.25">
      <c r="A32" s="274">
        <v>53000</v>
      </c>
      <c r="B32" s="275" t="s">
        <v>25</v>
      </c>
      <c r="C32" s="276">
        <v>36</v>
      </c>
      <c r="D32" s="278">
        <f t="shared" si="0"/>
        <v>4860000</v>
      </c>
    </row>
    <row r="33" spans="1:4" x14ac:dyDescent="0.25">
      <c r="A33" s="274">
        <v>54000</v>
      </c>
      <c r="B33" s="275" t="s">
        <v>347</v>
      </c>
      <c r="C33" s="276">
        <v>45</v>
      </c>
      <c r="D33" s="278">
        <f t="shared" si="0"/>
        <v>6075000</v>
      </c>
    </row>
    <row r="34" spans="1:4" x14ac:dyDescent="0.25">
      <c r="A34" s="274">
        <v>55000</v>
      </c>
      <c r="B34" s="275" t="s">
        <v>26</v>
      </c>
      <c r="C34" s="276">
        <v>0</v>
      </c>
      <c r="D34" s="278">
        <f t="shared" si="0"/>
        <v>0</v>
      </c>
    </row>
    <row r="35" spans="1:4" ht="15.75" thickBot="1" x14ac:dyDescent="0.3">
      <c r="A35" s="279">
        <v>56000</v>
      </c>
      <c r="B35" s="280" t="s">
        <v>27</v>
      </c>
      <c r="C35" s="281">
        <v>0</v>
      </c>
      <c r="D35" s="282">
        <f t="shared" si="0"/>
        <v>0</v>
      </c>
    </row>
    <row r="36" spans="1:4" ht="15.75" thickBot="1" x14ac:dyDescent="0.3">
      <c r="A36" s="283"/>
      <c r="B36" s="284" t="s">
        <v>28</v>
      </c>
      <c r="C36" s="285">
        <f>SUM(C10:C35)</f>
        <v>12878</v>
      </c>
      <c r="D36" s="286">
        <f>SUM(D10:D35)</f>
        <v>1738530000</v>
      </c>
    </row>
    <row r="37" spans="1:4" x14ac:dyDescent="0.25">
      <c r="A37" s="287" t="s">
        <v>294</v>
      </c>
      <c r="B37" s="288"/>
      <c r="C37" s="288"/>
      <c r="D37" s="288"/>
    </row>
    <row r="39" spans="1:4" x14ac:dyDescent="0.25">
      <c r="A39" s="710" t="s">
        <v>280</v>
      </c>
    </row>
  </sheetData>
  <mergeCells count="1">
    <mergeCell ref="A1:D1"/>
  </mergeCells>
  <hyperlinks>
    <hyperlink ref="A39" location="'0 Seznam'!A1" display="Seznam" xr:uid="{AAF16864-1CF8-4CF3-AAA7-7731BF62D60A}"/>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G42"/>
  <sheetViews>
    <sheetView zoomScale="85" zoomScaleNormal="85" workbookViewId="0">
      <selection activeCell="C2" sqref="C2"/>
    </sheetView>
  </sheetViews>
  <sheetFormatPr defaultRowHeight="15" x14ac:dyDescent="0.25"/>
  <cols>
    <col min="1" max="1" width="10.140625" style="43" customWidth="1"/>
    <col min="2" max="2" width="61.140625" style="43" customWidth="1"/>
    <col min="3" max="7" width="16.7109375" style="43" customWidth="1"/>
    <col min="8" max="16384" width="9.140625" style="43"/>
  </cols>
  <sheetData>
    <row r="1" spans="1:7" ht="27.75" x14ac:dyDescent="0.25">
      <c r="A1" s="374" t="s">
        <v>133</v>
      </c>
    </row>
    <row r="2" spans="1:7" x14ac:dyDescent="0.25">
      <c r="A2" s="375"/>
    </row>
    <row r="3" spans="1:7" ht="20.25" x14ac:dyDescent="0.25">
      <c r="A3" s="376" t="s">
        <v>298</v>
      </c>
    </row>
    <row r="4" spans="1:7" ht="15.75" thickBot="1" x14ac:dyDescent="0.3"/>
    <row r="5" spans="1:7" x14ac:dyDescent="0.25">
      <c r="A5" s="1142" t="s">
        <v>2</v>
      </c>
      <c r="B5" s="1144" t="s">
        <v>3</v>
      </c>
      <c r="C5" s="377" t="s">
        <v>134</v>
      </c>
      <c r="D5" s="377"/>
      <c r="E5" s="377"/>
      <c r="F5" s="378"/>
      <c r="G5" s="1146" t="s">
        <v>297</v>
      </c>
    </row>
    <row r="6" spans="1:7" ht="26.25" thickBot="1" x14ac:dyDescent="0.3">
      <c r="A6" s="1143"/>
      <c r="B6" s="1145"/>
      <c r="C6" s="379" t="s">
        <v>135</v>
      </c>
      <c r="D6" s="380" t="s">
        <v>136</v>
      </c>
      <c r="E6" s="380" t="s">
        <v>137</v>
      </c>
      <c r="F6" s="380" t="s">
        <v>138</v>
      </c>
      <c r="G6" s="1147"/>
    </row>
    <row r="7" spans="1:7" x14ac:dyDescent="0.25">
      <c r="A7" s="381">
        <v>11000</v>
      </c>
      <c r="B7" s="382" t="s">
        <v>4</v>
      </c>
      <c r="C7" s="383">
        <v>153804</v>
      </c>
      <c r="D7" s="384">
        <v>15401</v>
      </c>
      <c r="E7" s="384">
        <f>+D7*0.4</f>
        <v>6160.4000000000005</v>
      </c>
      <c r="F7" s="384">
        <f>C7+E7</f>
        <v>159964.4</v>
      </c>
      <c r="G7" s="385">
        <f>ROUND(F7*G$35,-3)</f>
        <v>2871000</v>
      </c>
    </row>
    <row r="8" spans="1:7" x14ac:dyDescent="0.25">
      <c r="A8" s="386">
        <v>12000</v>
      </c>
      <c r="B8" s="387" t="s">
        <v>5</v>
      </c>
      <c r="C8" s="383">
        <v>41290</v>
      </c>
      <c r="D8" s="384">
        <v>590</v>
      </c>
      <c r="E8" s="384">
        <f t="shared" ref="E8:E32" si="0">+D8*0.4</f>
        <v>236</v>
      </c>
      <c r="F8" s="384">
        <f>C8+E8</f>
        <v>41526</v>
      </c>
      <c r="G8" s="385">
        <f t="shared" ref="G8:G32" si="1">ROUND(F8*G$35,-3)</f>
        <v>745000</v>
      </c>
    </row>
    <row r="9" spans="1:7" x14ac:dyDescent="0.25">
      <c r="A9" s="386">
        <v>13000</v>
      </c>
      <c r="B9" s="387" t="s">
        <v>6</v>
      </c>
      <c r="C9" s="383">
        <v>4984</v>
      </c>
      <c r="D9" s="384">
        <v>347</v>
      </c>
      <c r="E9" s="384">
        <f t="shared" si="0"/>
        <v>138.80000000000001</v>
      </c>
      <c r="F9" s="384">
        <f t="shared" ref="F9:F32" si="2">C9+E9</f>
        <v>5122.8</v>
      </c>
      <c r="G9" s="385">
        <f t="shared" si="1"/>
        <v>92000</v>
      </c>
    </row>
    <row r="10" spans="1:7" x14ac:dyDescent="0.25">
      <c r="A10" s="386">
        <v>14000</v>
      </c>
      <c r="B10" s="387" t="s">
        <v>7</v>
      </c>
      <c r="C10" s="383">
        <v>104764</v>
      </c>
      <c r="D10" s="384">
        <v>381</v>
      </c>
      <c r="E10" s="384">
        <f t="shared" si="0"/>
        <v>152.4</v>
      </c>
      <c r="F10" s="384">
        <f t="shared" si="2"/>
        <v>104916.4</v>
      </c>
      <c r="G10" s="385">
        <f t="shared" si="1"/>
        <v>1883000</v>
      </c>
    </row>
    <row r="11" spans="1:7" x14ac:dyDescent="0.25">
      <c r="A11" s="386">
        <v>15000</v>
      </c>
      <c r="B11" s="387" t="s">
        <v>8</v>
      </c>
      <c r="C11" s="383">
        <v>290857</v>
      </c>
      <c r="D11" s="384">
        <v>26491</v>
      </c>
      <c r="E11" s="384">
        <f t="shared" si="0"/>
        <v>10596.400000000001</v>
      </c>
      <c r="F11" s="384">
        <f t="shared" si="2"/>
        <v>301453.40000000002</v>
      </c>
      <c r="G11" s="385">
        <f t="shared" si="1"/>
        <v>5411000</v>
      </c>
    </row>
    <row r="12" spans="1:7" x14ac:dyDescent="0.25">
      <c r="A12" s="386">
        <v>16000</v>
      </c>
      <c r="B12" s="387" t="s">
        <v>335</v>
      </c>
      <c r="C12" s="383">
        <v>0</v>
      </c>
      <c r="D12" s="384">
        <v>0</v>
      </c>
      <c r="E12" s="384">
        <f t="shared" si="0"/>
        <v>0</v>
      </c>
      <c r="F12" s="384">
        <f t="shared" si="2"/>
        <v>0</v>
      </c>
      <c r="G12" s="385">
        <f t="shared" si="1"/>
        <v>0</v>
      </c>
    </row>
    <row r="13" spans="1:7" x14ac:dyDescent="0.25">
      <c r="A13" s="386">
        <v>17000</v>
      </c>
      <c r="B13" s="387" t="s">
        <v>9</v>
      </c>
      <c r="C13" s="383">
        <v>5069</v>
      </c>
      <c r="D13" s="384">
        <v>0</v>
      </c>
      <c r="E13" s="384">
        <f t="shared" si="0"/>
        <v>0</v>
      </c>
      <c r="F13" s="384">
        <f t="shared" si="2"/>
        <v>5069</v>
      </c>
      <c r="G13" s="385">
        <f t="shared" si="1"/>
        <v>91000</v>
      </c>
    </row>
    <row r="14" spans="1:7" x14ac:dyDescent="0.25">
      <c r="A14" s="386">
        <v>18000</v>
      </c>
      <c r="B14" s="387" t="s">
        <v>10</v>
      </c>
      <c r="C14" s="383">
        <v>5991</v>
      </c>
      <c r="D14" s="384">
        <v>0</v>
      </c>
      <c r="E14" s="384">
        <f t="shared" si="0"/>
        <v>0</v>
      </c>
      <c r="F14" s="384">
        <f t="shared" si="2"/>
        <v>5991</v>
      </c>
      <c r="G14" s="385">
        <f t="shared" si="1"/>
        <v>108000</v>
      </c>
    </row>
    <row r="15" spans="1:7" x14ac:dyDescent="0.25">
      <c r="A15" s="386">
        <v>19000</v>
      </c>
      <c r="B15" s="387" t="s">
        <v>11</v>
      </c>
      <c r="C15" s="383">
        <v>36964</v>
      </c>
      <c r="D15" s="384">
        <v>362</v>
      </c>
      <c r="E15" s="384">
        <f t="shared" si="0"/>
        <v>144.80000000000001</v>
      </c>
      <c r="F15" s="384">
        <f t="shared" si="2"/>
        <v>37108.800000000003</v>
      </c>
      <c r="G15" s="385">
        <f t="shared" si="1"/>
        <v>666000</v>
      </c>
    </row>
    <row r="16" spans="1:7" x14ac:dyDescent="0.25">
      <c r="A16" s="386">
        <v>21000</v>
      </c>
      <c r="B16" s="387" t="s">
        <v>12</v>
      </c>
      <c r="C16" s="383">
        <v>204865</v>
      </c>
      <c r="D16" s="384">
        <v>10428</v>
      </c>
      <c r="E16" s="384">
        <f t="shared" si="0"/>
        <v>4171.2</v>
      </c>
      <c r="F16" s="384">
        <f t="shared" si="2"/>
        <v>209036.2</v>
      </c>
      <c r="G16" s="385">
        <f t="shared" si="1"/>
        <v>3752000</v>
      </c>
    </row>
    <row r="17" spans="1:7" x14ac:dyDescent="0.25">
      <c r="A17" s="386">
        <v>22000</v>
      </c>
      <c r="B17" s="387" t="s">
        <v>13</v>
      </c>
      <c r="C17" s="383">
        <v>25903</v>
      </c>
      <c r="D17" s="384">
        <v>2366</v>
      </c>
      <c r="E17" s="384">
        <f t="shared" si="0"/>
        <v>946.40000000000009</v>
      </c>
      <c r="F17" s="384">
        <f t="shared" si="2"/>
        <v>26849.4</v>
      </c>
      <c r="G17" s="385">
        <f t="shared" si="1"/>
        <v>482000</v>
      </c>
    </row>
    <row r="18" spans="1:7" x14ac:dyDescent="0.25">
      <c r="A18" s="386">
        <v>23000</v>
      </c>
      <c r="B18" s="387" t="s">
        <v>14</v>
      </c>
      <c r="C18" s="383">
        <v>87429</v>
      </c>
      <c r="D18" s="384">
        <v>3238</v>
      </c>
      <c r="E18" s="384">
        <f t="shared" si="0"/>
        <v>1295.2</v>
      </c>
      <c r="F18" s="384">
        <f t="shared" si="2"/>
        <v>88724.2</v>
      </c>
      <c r="G18" s="385">
        <f t="shared" si="1"/>
        <v>1593000</v>
      </c>
    </row>
    <row r="19" spans="1:7" x14ac:dyDescent="0.25">
      <c r="A19" s="386">
        <v>24000</v>
      </c>
      <c r="B19" s="387" t="s">
        <v>15</v>
      </c>
      <c r="C19" s="383">
        <v>67953</v>
      </c>
      <c r="D19" s="384">
        <v>7161</v>
      </c>
      <c r="E19" s="384">
        <f t="shared" si="0"/>
        <v>2864.4</v>
      </c>
      <c r="F19" s="384">
        <f t="shared" si="2"/>
        <v>70817.399999999994</v>
      </c>
      <c r="G19" s="385">
        <f t="shared" si="1"/>
        <v>1271000</v>
      </c>
    </row>
    <row r="20" spans="1:7" x14ac:dyDescent="0.25">
      <c r="A20" s="386">
        <v>25000</v>
      </c>
      <c r="B20" s="387" t="s">
        <v>16</v>
      </c>
      <c r="C20" s="383">
        <v>32226</v>
      </c>
      <c r="D20" s="384">
        <v>265</v>
      </c>
      <c r="E20" s="384">
        <f t="shared" si="0"/>
        <v>106</v>
      </c>
      <c r="F20" s="384">
        <f t="shared" si="2"/>
        <v>32332</v>
      </c>
      <c r="G20" s="385">
        <f t="shared" si="1"/>
        <v>580000</v>
      </c>
    </row>
    <row r="21" spans="1:7" x14ac:dyDescent="0.25">
      <c r="A21" s="386">
        <v>26000</v>
      </c>
      <c r="B21" s="387" t="s">
        <v>17</v>
      </c>
      <c r="C21" s="383">
        <v>169029</v>
      </c>
      <c r="D21" s="384">
        <v>8026</v>
      </c>
      <c r="E21" s="384">
        <f t="shared" si="0"/>
        <v>3210.4</v>
      </c>
      <c r="F21" s="384">
        <f t="shared" si="2"/>
        <v>172239.4</v>
      </c>
      <c r="G21" s="385">
        <f t="shared" si="1"/>
        <v>3092000</v>
      </c>
    </row>
    <row r="22" spans="1:7" x14ac:dyDescent="0.25">
      <c r="A22" s="386">
        <v>27000</v>
      </c>
      <c r="B22" s="387" t="s">
        <v>18</v>
      </c>
      <c r="C22" s="383">
        <v>49905</v>
      </c>
      <c r="D22" s="384">
        <v>14965</v>
      </c>
      <c r="E22" s="384">
        <f t="shared" si="0"/>
        <v>5986</v>
      </c>
      <c r="F22" s="384">
        <f t="shared" si="2"/>
        <v>55891</v>
      </c>
      <c r="G22" s="385">
        <f t="shared" si="1"/>
        <v>1003000</v>
      </c>
    </row>
    <row r="23" spans="1:7" x14ac:dyDescent="0.25">
      <c r="A23" s="386">
        <v>28000</v>
      </c>
      <c r="B23" s="387" t="s">
        <v>19</v>
      </c>
      <c r="C23" s="383">
        <v>55073</v>
      </c>
      <c r="D23" s="384">
        <v>1375</v>
      </c>
      <c r="E23" s="384">
        <f t="shared" si="0"/>
        <v>550</v>
      </c>
      <c r="F23" s="384">
        <f t="shared" si="2"/>
        <v>55623</v>
      </c>
      <c r="G23" s="385">
        <f t="shared" si="1"/>
        <v>998000</v>
      </c>
    </row>
    <row r="24" spans="1:7" x14ac:dyDescent="0.25">
      <c r="A24" s="386">
        <v>31000</v>
      </c>
      <c r="B24" s="387" t="s">
        <v>20</v>
      </c>
      <c r="C24" s="383">
        <v>53497</v>
      </c>
      <c r="D24" s="384">
        <v>671</v>
      </c>
      <c r="E24" s="384">
        <f t="shared" si="0"/>
        <v>268.40000000000003</v>
      </c>
      <c r="F24" s="384">
        <f t="shared" si="2"/>
        <v>53765.4</v>
      </c>
      <c r="G24" s="385">
        <f t="shared" si="1"/>
        <v>965000</v>
      </c>
    </row>
    <row r="25" spans="1:7" x14ac:dyDescent="0.25">
      <c r="A25" s="386">
        <v>41000</v>
      </c>
      <c r="B25" s="387" t="s">
        <v>21</v>
      </c>
      <c r="C25" s="383">
        <v>39863</v>
      </c>
      <c r="D25" s="384">
        <v>192</v>
      </c>
      <c r="E25" s="384">
        <f t="shared" si="0"/>
        <v>76.800000000000011</v>
      </c>
      <c r="F25" s="384">
        <f>C25+E25</f>
        <v>39939.800000000003</v>
      </c>
      <c r="G25" s="385">
        <f t="shared" si="1"/>
        <v>717000</v>
      </c>
    </row>
    <row r="26" spans="1:7" x14ac:dyDescent="0.25">
      <c r="A26" s="386">
        <v>43000</v>
      </c>
      <c r="B26" s="387" t="s">
        <v>22</v>
      </c>
      <c r="C26" s="383">
        <v>57660</v>
      </c>
      <c r="D26" s="384">
        <v>3246</v>
      </c>
      <c r="E26" s="384">
        <f t="shared" si="0"/>
        <v>1298.4000000000001</v>
      </c>
      <c r="F26" s="384">
        <f t="shared" si="2"/>
        <v>58958.400000000001</v>
      </c>
      <c r="G26" s="385">
        <f t="shared" si="1"/>
        <v>1058000</v>
      </c>
    </row>
    <row r="27" spans="1:7" x14ac:dyDescent="0.25">
      <c r="A27" s="386">
        <v>51000</v>
      </c>
      <c r="B27" s="387" t="s">
        <v>23</v>
      </c>
      <c r="C27" s="383">
        <v>8500</v>
      </c>
      <c r="D27" s="384">
        <v>4500</v>
      </c>
      <c r="E27" s="384">
        <f t="shared" si="0"/>
        <v>1800</v>
      </c>
      <c r="F27" s="384">
        <f t="shared" si="2"/>
        <v>10300</v>
      </c>
      <c r="G27" s="385">
        <f t="shared" si="1"/>
        <v>185000</v>
      </c>
    </row>
    <row r="28" spans="1:7" x14ac:dyDescent="0.25">
      <c r="A28" s="386">
        <v>52000</v>
      </c>
      <c r="B28" s="387" t="s">
        <v>24</v>
      </c>
      <c r="C28" s="383">
        <v>3280</v>
      </c>
      <c r="D28" s="384">
        <v>0</v>
      </c>
      <c r="E28" s="384">
        <f t="shared" si="0"/>
        <v>0</v>
      </c>
      <c r="F28" s="384">
        <f t="shared" si="2"/>
        <v>3280</v>
      </c>
      <c r="G28" s="385">
        <f t="shared" si="1"/>
        <v>59000</v>
      </c>
    </row>
    <row r="29" spans="1:7" x14ac:dyDescent="0.25">
      <c r="A29" s="386">
        <v>53000</v>
      </c>
      <c r="B29" s="387" t="s">
        <v>25</v>
      </c>
      <c r="C29" s="383">
        <v>0</v>
      </c>
      <c r="D29" s="384">
        <v>0</v>
      </c>
      <c r="E29" s="384">
        <f t="shared" si="0"/>
        <v>0</v>
      </c>
      <c r="F29" s="384">
        <f t="shared" si="2"/>
        <v>0</v>
      </c>
      <c r="G29" s="385">
        <f t="shared" si="1"/>
        <v>0</v>
      </c>
    </row>
    <row r="30" spans="1:7" x14ac:dyDescent="0.25">
      <c r="A30" s="386">
        <v>54000</v>
      </c>
      <c r="B30" s="387" t="s">
        <v>347</v>
      </c>
      <c r="C30" s="383">
        <v>0</v>
      </c>
      <c r="D30" s="384">
        <v>0</v>
      </c>
      <c r="E30" s="384">
        <f t="shared" si="0"/>
        <v>0</v>
      </c>
      <c r="F30" s="384">
        <f t="shared" si="2"/>
        <v>0</v>
      </c>
      <c r="G30" s="385">
        <f t="shared" si="1"/>
        <v>0</v>
      </c>
    </row>
    <row r="31" spans="1:7" x14ac:dyDescent="0.25">
      <c r="A31" s="386">
        <v>55000</v>
      </c>
      <c r="B31" s="387" t="s">
        <v>26</v>
      </c>
      <c r="C31" s="383">
        <v>4226</v>
      </c>
      <c r="D31" s="384">
        <v>0</v>
      </c>
      <c r="E31" s="384">
        <f t="shared" si="0"/>
        <v>0</v>
      </c>
      <c r="F31" s="384">
        <f t="shared" si="2"/>
        <v>4226</v>
      </c>
      <c r="G31" s="385">
        <f t="shared" si="1"/>
        <v>76000</v>
      </c>
    </row>
    <row r="32" spans="1:7" ht="15.75" thickBot="1" x14ac:dyDescent="0.3">
      <c r="A32" s="388">
        <v>56000</v>
      </c>
      <c r="B32" s="389" t="s">
        <v>27</v>
      </c>
      <c r="C32" s="390">
        <v>3971</v>
      </c>
      <c r="D32" s="391">
        <v>820</v>
      </c>
      <c r="E32" s="391">
        <f t="shared" si="0"/>
        <v>328</v>
      </c>
      <c r="F32" s="391">
        <f t="shared" si="2"/>
        <v>4299</v>
      </c>
      <c r="G32" s="385">
        <f t="shared" si="1"/>
        <v>77000</v>
      </c>
    </row>
    <row r="33" spans="1:7" ht="15.75" thickBot="1" x14ac:dyDescent="0.3">
      <c r="A33" s="392"/>
      <c r="B33" s="393" t="s">
        <v>28</v>
      </c>
      <c r="C33" s="394">
        <f t="shared" ref="C33:F33" si="3">SUM(C7:C32)</f>
        <v>1507103</v>
      </c>
      <c r="D33" s="395">
        <f t="shared" si="3"/>
        <v>100825</v>
      </c>
      <c r="E33" s="395">
        <f t="shared" si="3"/>
        <v>40330.000000000015</v>
      </c>
      <c r="F33" s="395">
        <f t="shared" si="3"/>
        <v>1547432.9999999998</v>
      </c>
      <c r="G33" s="396">
        <f>SUM(G7:G32)</f>
        <v>27775000</v>
      </c>
    </row>
    <row r="34" spans="1:7" x14ac:dyDescent="0.25">
      <c r="A34" s="397"/>
      <c r="B34" s="397"/>
      <c r="C34" s="397"/>
      <c r="D34" s="397"/>
      <c r="E34" s="397"/>
      <c r="F34" s="397"/>
      <c r="G34" s="397"/>
    </row>
    <row r="35" spans="1:7" x14ac:dyDescent="0.25">
      <c r="A35" s="398" t="s">
        <v>139</v>
      </c>
      <c r="B35" s="398"/>
      <c r="C35" s="399"/>
      <c r="D35" s="400"/>
      <c r="E35" s="400"/>
      <c r="F35" s="401"/>
      <c r="G35" s="402">
        <v>17.95</v>
      </c>
    </row>
    <row r="36" spans="1:7" x14ac:dyDescent="0.25">
      <c r="A36" s="403" t="s">
        <v>284</v>
      </c>
      <c r="B36" s="403"/>
      <c r="C36" s="404"/>
      <c r="D36" s="405"/>
      <c r="E36" s="405"/>
      <c r="F36" s="406"/>
      <c r="G36" s="383">
        <f>+G33</f>
        <v>27775000</v>
      </c>
    </row>
    <row r="37" spans="1:7" x14ac:dyDescent="0.25">
      <c r="A37" s="398" t="s">
        <v>296</v>
      </c>
      <c r="B37" s="398"/>
      <c r="C37" s="399"/>
      <c r="D37" s="400"/>
      <c r="E37" s="400"/>
      <c r="F37" s="401"/>
      <c r="G37" s="407">
        <f>'1 Bilance'!O23</f>
        <v>115000000</v>
      </c>
    </row>
    <row r="38" spans="1:7" x14ac:dyDescent="0.25">
      <c r="A38" s="403" t="s">
        <v>140</v>
      </c>
      <c r="B38" s="403"/>
      <c r="C38" s="404"/>
      <c r="D38" s="405"/>
      <c r="E38" s="405"/>
      <c r="F38" s="406"/>
      <c r="G38" s="408">
        <f>G37-G36</f>
        <v>87225000</v>
      </c>
    </row>
    <row r="40" spans="1:7" s="611" customFormat="1" x14ac:dyDescent="0.25">
      <c r="A40" s="613"/>
    </row>
    <row r="41" spans="1:7" s="611" customFormat="1" x14ac:dyDescent="0.25"/>
    <row r="42" spans="1:7" x14ac:dyDescent="0.25">
      <c r="A42" s="710" t="s">
        <v>280</v>
      </c>
    </row>
  </sheetData>
  <mergeCells count="3">
    <mergeCell ref="A5:A6"/>
    <mergeCell ref="B5:B6"/>
    <mergeCell ref="G5:G6"/>
  </mergeCells>
  <hyperlinks>
    <hyperlink ref="A42" location="'0 Seznam'!A1" display="Seznam" xr:uid="{35D35BA0-997C-4FA3-BFE4-E0E57CB952ED}"/>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D46"/>
  <sheetViews>
    <sheetView zoomScale="85" zoomScaleNormal="85" workbookViewId="0">
      <selection activeCell="C2" sqref="C2"/>
    </sheetView>
  </sheetViews>
  <sheetFormatPr defaultRowHeight="15" x14ac:dyDescent="0.25"/>
  <cols>
    <col min="1" max="1" width="9.42578125" style="43" customWidth="1"/>
    <col min="2" max="2" width="56.140625" style="43" customWidth="1"/>
    <col min="3" max="3" width="13.7109375" style="43" customWidth="1"/>
    <col min="4" max="4" width="14.140625" style="43" customWidth="1"/>
    <col min="5" max="7" width="9.140625" style="43"/>
    <col min="8" max="8" width="12.5703125" style="43" bestFit="1" customWidth="1"/>
    <col min="9" max="9" width="10.5703125" style="43" bestFit="1" customWidth="1"/>
    <col min="10" max="16384" width="9.140625" style="43"/>
  </cols>
  <sheetData>
    <row r="1" spans="1:4" ht="27.75" x14ac:dyDescent="0.25">
      <c r="A1" s="289" t="s">
        <v>103</v>
      </c>
      <c r="B1" s="268"/>
      <c r="C1" s="268"/>
      <c r="D1" s="268"/>
    </row>
    <row r="2" spans="1:4" ht="23.25" x14ac:dyDescent="0.25">
      <c r="A2" s="290"/>
      <c r="B2" s="268"/>
      <c r="C2" s="268"/>
      <c r="D2" s="268"/>
    </row>
    <row r="3" spans="1:4" ht="20.25" x14ac:dyDescent="0.25">
      <c r="A3" s="291" t="s">
        <v>299</v>
      </c>
      <c r="B3" s="268"/>
      <c r="C3" s="268"/>
      <c r="D3" s="268"/>
    </row>
    <row r="4" spans="1:4" x14ac:dyDescent="0.25">
      <c r="A4" s="288"/>
      <c r="B4" s="288"/>
      <c r="C4" s="288"/>
      <c r="D4" s="288"/>
    </row>
    <row r="5" spans="1:4" ht="20.25" x14ac:dyDescent="0.25">
      <c r="A5" s="291" t="s">
        <v>104</v>
      </c>
      <c r="B5" s="292"/>
      <c r="C5" s="292"/>
      <c r="D5" s="292"/>
    </row>
    <row r="6" spans="1:4" x14ac:dyDescent="0.25">
      <c r="A6" s="293"/>
      <c r="B6" s="268"/>
      <c r="C6" s="268"/>
      <c r="D6" s="268"/>
    </row>
    <row r="7" spans="1:4" x14ac:dyDescent="0.25">
      <c r="A7" s="1152" t="s">
        <v>105</v>
      </c>
      <c r="B7" s="1153"/>
      <c r="C7" s="1154"/>
      <c r="D7" s="294">
        <f>C43</f>
        <v>147561</v>
      </c>
    </row>
    <row r="8" spans="1:4" x14ac:dyDescent="0.25">
      <c r="A8" s="1152" t="s">
        <v>106</v>
      </c>
      <c r="B8" s="1153"/>
      <c r="C8" s="1154"/>
      <c r="D8" s="295">
        <v>8453</v>
      </c>
    </row>
    <row r="9" spans="1:4" x14ac:dyDescent="0.25">
      <c r="A9" s="1152" t="s">
        <v>107</v>
      </c>
      <c r="B9" s="1153"/>
      <c r="C9" s="1154"/>
      <c r="D9" s="295">
        <v>5400</v>
      </c>
    </row>
    <row r="10" spans="1:4" x14ac:dyDescent="0.25">
      <c r="A10" s="1152" t="s">
        <v>108</v>
      </c>
      <c r="B10" s="1153"/>
      <c r="C10" s="1154"/>
      <c r="D10" s="294">
        <f>D43</f>
        <v>796829400</v>
      </c>
    </row>
    <row r="11" spans="1:4" x14ac:dyDescent="0.25">
      <c r="A11" s="1152" t="s">
        <v>285</v>
      </c>
      <c r="B11" s="1153"/>
      <c r="C11" s="1154"/>
      <c r="D11" s="294">
        <f>'1 Bilance'!O27</f>
        <v>25000000</v>
      </c>
    </row>
    <row r="12" spans="1:4" x14ac:dyDescent="0.25">
      <c r="A12" s="296"/>
      <c r="B12" s="296"/>
      <c r="C12" s="296"/>
      <c r="D12" s="297"/>
    </row>
    <row r="13" spans="1:4" ht="20.25" x14ac:dyDescent="0.25">
      <c r="A13" s="291" t="s">
        <v>109</v>
      </c>
      <c r="B13" s="296"/>
      <c r="C13" s="296"/>
      <c r="D13" s="298"/>
    </row>
    <row r="14" spans="1:4" ht="15.75" thickBot="1" x14ac:dyDescent="0.3">
      <c r="A14" s="268"/>
      <c r="B14" s="268"/>
      <c r="C14" s="268"/>
      <c r="D14" s="299" t="s">
        <v>0</v>
      </c>
    </row>
    <row r="15" spans="1:4" x14ac:dyDescent="0.25">
      <c r="A15" s="1155" t="s">
        <v>2</v>
      </c>
      <c r="B15" s="1157" t="s">
        <v>110</v>
      </c>
      <c r="C15" s="1157" t="s">
        <v>111</v>
      </c>
      <c r="D15" s="1148" t="s">
        <v>112</v>
      </c>
    </row>
    <row r="16" spans="1:4" ht="15.75" thickBot="1" x14ac:dyDescent="0.3">
      <c r="A16" s="1156"/>
      <c r="B16" s="1158"/>
      <c r="C16" s="1158"/>
      <c r="D16" s="1149"/>
    </row>
    <row r="17" spans="1:4" x14ac:dyDescent="0.25">
      <c r="A17" s="300">
        <v>11000</v>
      </c>
      <c r="B17" s="301" t="s">
        <v>4</v>
      </c>
      <c r="C17" s="302">
        <v>24203</v>
      </c>
      <c r="D17" s="303">
        <f>+C17*$D$9</f>
        <v>130696200</v>
      </c>
    </row>
    <row r="18" spans="1:4" x14ac:dyDescent="0.25">
      <c r="A18" s="304">
        <v>12000</v>
      </c>
      <c r="B18" s="305" t="s">
        <v>5</v>
      </c>
      <c r="C18" s="306">
        <v>4461</v>
      </c>
      <c r="D18" s="307">
        <f t="shared" ref="D18:D42" si="0">+C18*$D$9</f>
        <v>24089400</v>
      </c>
    </row>
    <row r="19" spans="1:4" x14ac:dyDescent="0.25">
      <c r="A19" s="304">
        <v>13000</v>
      </c>
      <c r="B19" s="305" t="s">
        <v>6</v>
      </c>
      <c r="C19" s="306">
        <v>3135</v>
      </c>
      <c r="D19" s="307">
        <f t="shared" si="0"/>
        <v>16929000</v>
      </c>
    </row>
    <row r="20" spans="1:4" x14ac:dyDescent="0.25">
      <c r="A20" s="304">
        <v>14000</v>
      </c>
      <c r="B20" s="305" t="s">
        <v>7</v>
      </c>
      <c r="C20" s="306">
        <v>18864</v>
      </c>
      <c r="D20" s="307">
        <f t="shared" si="0"/>
        <v>101865600</v>
      </c>
    </row>
    <row r="21" spans="1:4" x14ac:dyDescent="0.25">
      <c r="A21" s="304">
        <v>15000</v>
      </c>
      <c r="B21" s="305" t="s">
        <v>8</v>
      </c>
      <c r="C21" s="306">
        <v>11697</v>
      </c>
      <c r="D21" s="307">
        <f t="shared" si="0"/>
        <v>63163800</v>
      </c>
    </row>
    <row r="22" spans="1:4" x14ac:dyDescent="0.25">
      <c r="A22" s="304">
        <v>16000</v>
      </c>
      <c r="B22" s="305" t="s">
        <v>335</v>
      </c>
      <c r="C22" s="306">
        <v>1230</v>
      </c>
      <c r="D22" s="307">
        <f t="shared" si="0"/>
        <v>6642000</v>
      </c>
    </row>
    <row r="23" spans="1:4" x14ac:dyDescent="0.25">
      <c r="A23" s="304">
        <v>17000</v>
      </c>
      <c r="B23" s="305" t="s">
        <v>9</v>
      </c>
      <c r="C23" s="306">
        <v>3913</v>
      </c>
      <c r="D23" s="307">
        <f t="shared" si="0"/>
        <v>21130200</v>
      </c>
    </row>
    <row r="24" spans="1:4" x14ac:dyDescent="0.25">
      <c r="A24" s="304">
        <v>18000</v>
      </c>
      <c r="B24" s="305" t="s">
        <v>10</v>
      </c>
      <c r="C24" s="306">
        <v>2919</v>
      </c>
      <c r="D24" s="307">
        <f t="shared" si="0"/>
        <v>15762600</v>
      </c>
    </row>
    <row r="25" spans="1:4" x14ac:dyDescent="0.25">
      <c r="A25" s="304">
        <v>19000</v>
      </c>
      <c r="B25" s="305" t="s">
        <v>11</v>
      </c>
      <c r="C25" s="306">
        <v>1214</v>
      </c>
      <c r="D25" s="307">
        <f t="shared" si="0"/>
        <v>6555600</v>
      </c>
    </row>
    <row r="26" spans="1:4" x14ac:dyDescent="0.25">
      <c r="A26" s="304">
        <v>21000</v>
      </c>
      <c r="B26" s="305" t="s">
        <v>12</v>
      </c>
      <c r="C26" s="306">
        <v>10490</v>
      </c>
      <c r="D26" s="307">
        <f t="shared" si="0"/>
        <v>56646000</v>
      </c>
    </row>
    <row r="27" spans="1:4" x14ac:dyDescent="0.25">
      <c r="A27" s="304">
        <v>22000</v>
      </c>
      <c r="B27" s="305" t="s">
        <v>13</v>
      </c>
      <c r="C27" s="306">
        <v>2486</v>
      </c>
      <c r="D27" s="307">
        <f t="shared" si="0"/>
        <v>13424400</v>
      </c>
    </row>
    <row r="28" spans="1:4" x14ac:dyDescent="0.25">
      <c r="A28" s="304">
        <v>23000</v>
      </c>
      <c r="B28" s="305" t="s">
        <v>14</v>
      </c>
      <c r="C28" s="306">
        <v>6559</v>
      </c>
      <c r="D28" s="307">
        <f t="shared" si="0"/>
        <v>35418600</v>
      </c>
    </row>
    <row r="29" spans="1:4" x14ac:dyDescent="0.25">
      <c r="A29" s="304">
        <v>24000</v>
      </c>
      <c r="B29" s="305" t="s">
        <v>15</v>
      </c>
      <c r="C29" s="306">
        <v>2876</v>
      </c>
      <c r="D29" s="307">
        <f t="shared" si="0"/>
        <v>15530400</v>
      </c>
    </row>
    <row r="30" spans="1:4" x14ac:dyDescent="0.25">
      <c r="A30" s="304">
        <v>25000</v>
      </c>
      <c r="B30" s="305" t="s">
        <v>16</v>
      </c>
      <c r="C30" s="306">
        <v>4016</v>
      </c>
      <c r="D30" s="307">
        <f t="shared" si="0"/>
        <v>21686400</v>
      </c>
    </row>
    <row r="31" spans="1:4" x14ac:dyDescent="0.25">
      <c r="A31" s="304">
        <v>26000</v>
      </c>
      <c r="B31" s="305" t="s">
        <v>17</v>
      </c>
      <c r="C31" s="306">
        <v>13676</v>
      </c>
      <c r="D31" s="307">
        <f t="shared" si="0"/>
        <v>73850400</v>
      </c>
    </row>
    <row r="32" spans="1:4" x14ac:dyDescent="0.25">
      <c r="A32" s="304">
        <v>27000</v>
      </c>
      <c r="B32" s="305" t="s">
        <v>18</v>
      </c>
      <c r="C32" s="306">
        <v>5137</v>
      </c>
      <c r="D32" s="307">
        <f t="shared" si="0"/>
        <v>27739800</v>
      </c>
    </row>
    <row r="33" spans="1:4" x14ac:dyDescent="0.25">
      <c r="A33" s="304">
        <v>28000</v>
      </c>
      <c r="B33" s="305" t="s">
        <v>19</v>
      </c>
      <c r="C33" s="306">
        <v>3982</v>
      </c>
      <c r="D33" s="307">
        <f t="shared" si="0"/>
        <v>21502800</v>
      </c>
    </row>
    <row r="34" spans="1:4" x14ac:dyDescent="0.25">
      <c r="A34" s="304">
        <v>31000</v>
      </c>
      <c r="B34" s="305" t="s">
        <v>20</v>
      </c>
      <c r="C34" s="306">
        <v>7903</v>
      </c>
      <c r="D34" s="307">
        <f t="shared" si="0"/>
        <v>42676200</v>
      </c>
    </row>
    <row r="35" spans="1:4" x14ac:dyDescent="0.25">
      <c r="A35" s="304">
        <v>41000</v>
      </c>
      <c r="B35" s="305" t="s">
        <v>21</v>
      </c>
      <c r="C35" s="306">
        <v>10526</v>
      </c>
      <c r="D35" s="307">
        <f t="shared" si="0"/>
        <v>56840400</v>
      </c>
    </row>
    <row r="36" spans="1:4" x14ac:dyDescent="0.25">
      <c r="A36" s="304">
        <v>43000</v>
      </c>
      <c r="B36" s="305" t="s">
        <v>22</v>
      </c>
      <c r="C36" s="306">
        <v>5171</v>
      </c>
      <c r="D36" s="307">
        <f t="shared" si="0"/>
        <v>27923400</v>
      </c>
    </row>
    <row r="37" spans="1:4" x14ac:dyDescent="0.25">
      <c r="A37" s="304">
        <v>51000</v>
      </c>
      <c r="B37" s="305" t="s">
        <v>23</v>
      </c>
      <c r="C37" s="306">
        <v>623</v>
      </c>
      <c r="D37" s="307">
        <f t="shared" si="0"/>
        <v>3364200</v>
      </c>
    </row>
    <row r="38" spans="1:4" x14ac:dyDescent="0.25">
      <c r="A38" s="304">
        <v>52000</v>
      </c>
      <c r="B38" s="305" t="s">
        <v>24</v>
      </c>
      <c r="C38" s="306">
        <v>149</v>
      </c>
      <c r="D38" s="307">
        <f t="shared" si="0"/>
        <v>804600</v>
      </c>
    </row>
    <row r="39" spans="1:4" x14ac:dyDescent="0.25">
      <c r="A39" s="304">
        <v>53000</v>
      </c>
      <c r="B39" s="305" t="s">
        <v>25</v>
      </c>
      <c r="C39" s="306">
        <v>258</v>
      </c>
      <c r="D39" s="307">
        <f t="shared" si="0"/>
        <v>1393200</v>
      </c>
    </row>
    <row r="40" spans="1:4" x14ac:dyDescent="0.25">
      <c r="A40" s="304">
        <v>54000</v>
      </c>
      <c r="B40" s="305" t="s">
        <v>347</v>
      </c>
      <c r="C40" s="306">
        <v>460</v>
      </c>
      <c r="D40" s="307">
        <f t="shared" si="0"/>
        <v>2484000</v>
      </c>
    </row>
    <row r="41" spans="1:4" x14ac:dyDescent="0.25">
      <c r="A41" s="304">
        <v>55000</v>
      </c>
      <c r="B41" s="305" t="s">
        <v>26</v>
      </c>
      <c r="C41" s="306">
        <v>686</v>
      </c>
      <c r="D41" s="307">
        <f t="shared" si="0"/>
        <v>3704400</v>
      </c>
    </row>
    <row r="42" spans="1:4" ht="15" customHeight="1" thickBot="1" x14ac:dyDescent="0.3">
      <c r="A42" s="308">
        <v>56000</v>
      </c>
      <c r="B42" s="309" t="s">
        <v>27</v>
      </c>
      <c r="C42" s="310">
        <v>927</v>
      </c>
      <c r="D42" s="311">
        <f t="shared" si="0"/>
        <v>5005800</v>
      </c>
    </row>
    <row r="43" spans="1:4" ht="15.75" thickBot="1" x14ac:dyDescent="0.3">
      <c r="A43" s="1150" t="s">
        <v>113</v>
      </c>
      <c r="B43" s="1151"/>
      <c r="C43" s="312">
        <f>SUM(C17:C42)</f>
        <v>147561</v>
      </c>
      <c r="D43" s="313">
        <f>SUM(D17:D42)</f>
        <v>796829400</v>
      </c>
    </row>
    <row r="44" spans="1:4" x14ac:dyDescent="0.25">
      <c r="A44" s="268" t="s">
        <v>300</v>
      </c>
      <c r="B44" s="265"/>
      <c r="C44" s="265"/>
      <c r="D44" s="265"/>
    </row>
    <row r="46" spans="1:4" x14ac:dyDescent="0.25">
      <c r="A46" s="710"/>
    </row>
  </sheetData>
  <mergeCells count="10">
    <mergeCell ref="D15:D16"/>
    <mergeCell ref="A43:B43"/>
    <mergeCell ref="A7:C7"/>
    <mergeCell ref="A8:C8"/>
    <mergeCell ref="A9:C9"/>
    <mergeCell ref="A10:C10"/>
    <mergeCell ref="A11:C11"/>
    <mergeCell ref="A15:A16"/>
    <mergeCell ref="B15:B16"/>
    <mergeCell ref="C15:C16"/>
  </mergeCells>
  <pageMargins left="0.70866141732283472" right="0.70866141732283472" top="0.78740157480314965" bottom="0.78740157480314965" header="0.31496062992125984" footer="0.31496062992125984"/>
  <pageSetup paperSize="9" scale="73" orientation="portrait" r:id="rId1"/>
  <headerFooter>
    <oddHeader xml:space="preserve">&amp;LČ. j.: 5674/2022-1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G35"/>
  <sheetViews>
    <sheetView zoomScale="85" zoomScaleNormal="85" workbookViewId="0">
      <selection activeCell="A35" sqref="A35"/>
    </sheetView>
  </sheetViews>
  <sheetFormatPr defaultRowHeight="15" x14ac:dyDescent="0.25"/>
  <cols>
    <col min="1" max="1" width="11.140625" customWidth="1"/>
    <col min="2" max="2" width="60.7109375" customWidth="1"/>
    <col min="3" max="4" width="18.28515625" customWidth="1"/>
    <col min="5" max="7" width="57.140625" customWidth="1"/>
  </cols>
  <sheetData>
    <row r="1" spans="1:7" ht="27.75" x14ac:dyDescent="0.25">
      <c r="A1" s="535" t="s">
        <v>172</v>
      </c>
      <c r="B1" s="536"/>
      <c r="C1" s="536"/>
    </row>
    <row r="2" spans="1:7" x14ac:dyDescent="0.25">
      <c r="A2" s="537"/>
      <c r="B2" s="536"/>
      <c r="C2" s="536"/>
    </row>
    <row r="3" spans="1:7" ht="20.25" x14ac:dyDescent="0.25">
      <c r="A3" s="538" t="s">
        <v>346</v>
      </c>
      <c r="B3" s="536"/>
      <c r="C3" s="539"/>
    </row>
    <row r="4" spans="1:7" x14ac:dyDescent="0.25">
      <c r="A4" s="540"/>
      <c r="B4" s="536"/>
      <c r="C4" s="539"/>
    </row>
    <row r="5" spans="1:7" ht="15.75" thickBot="1" x14ac:dyDescent="0.3">
      <c r="A5" s="541"/>
      <c r="B5" s="541"/>
      <c r="C5" s="542" t="s">
        <v>0</v>
      </c>
    </row>
    <row r="6" spans="1:7" ht="45.75" thickBot="1" x14ac:dyDescent="0.3">
      <c r="A6" s="543" t="s">
        <v>2</v>
      </c>
      <c r="B6" s="544" t="s">
        <v>3</v>
      </c>
      <c r="C6" s="907" t="s">
        <v>29</v>
      </c>
      <c r="D6" s="544" t="s">
        <v>336</v>
      </c>
    </row>
    <row r="7" spans="1:7" x14ac:dyDescent="0.25">
      <c r="A7" s="545">
        <v>11000</v>
      </c>
      <c r="B7" s="546" t="s">
        <v>4</v>
      </c>
      <c r="C7" s="908">
        <v>0.1832</v>
      </c>
      <c r="D7" s="901">
        <v>226260259</v>
      </c>
      <c r="E7" s="859"/>
      <c r="F7" s="900"/>
      <c r="G7" s="12"/>
    </row>
    <row r="8" spans="1:7" x14ac:dyDescent="0.25">
      <c r="A8" s="547">
        <v>12000</v>
      </c>
      <c r="B8" s="546" t="s">
        <v>5</v>
      </c>
      <c r="C8" s="908">
        <v>3.09E-2</v>
      </c>
      <c r="D8" s="901">
        <v>38180113</v>
      </c>
      <c r="E8" s="859"/>
      <c r="F8" s="900"/>
      <c r="G8" s="12"/>
    </row>
    <row r="9" spans="1:7" x14ac:dyDescent="0.25">
      <c r="A9" s="547">
        <v>13000</v>
      </c>
      <c r="B9" s="546" t="s">
        <v>6</v>
      </c>
      <c r="C9" s="908">
        <v>2.3E-2</v>
      </c>
      <c r="D9" s="901">
        <v>28452218</v>
      </c>
      <c r="E9" s="859"/>
      <c r="F9" s="900"/>
      <c r="G9" s="12"/>
    </row>
    <row r="10" spans="1:7" x14ac:dyDescent="0.25">
      <c r="A10" s="547">
        <v>14000</v>
      </c>
      <c r="B10" s="546" t="s">
        <v>7</v>
      </c>
      <c r="C10" s="908">
        <v>0.1145</v>
      </c>
      <c r="D10" s="901">
        <v>145621080</v>
      </c>
      <c r="E10" s="12"/>
      <c r="F10" s="900"/>
      <c r="G10" s="12"/>
    </row>
    <row r="11" spans="1:7" x14ac:dyDescent="0.25">
      <c r="A11" s="547">
        <v>15000</v>
      </c>
      <c r="B11" s="546" t="s">
        <v>8</v>
      </c>
      <c r="C11" s="908">
        <v>6.5600000000000006E-2</v>
      </c>
      <c r="D11" s="901">
        <v>80999060</v>
      </c>
      <c r="E11" s="859"/>
      <c r="F11" s="900"/>
      <c r="G11" s="12"/>
    </row>
    <row r="12" spans="1:7" x14ac:dyDescent="0.25">
      <c r="A12" s="547">
        <v>16000</v>
      </c>
      <c r="B12" s="546" t="s">
        <v>335</v>
      </c>
      <c r="C12" s="908">
        <v>1.52E-2</v>
      </c>
      <c r="D12" s="901">
        <v>18728875</v>
      </c>
      <c r="E12" s="859"/>
      <c r="F12" s="900"/>
      <c r="G12" s="12"/>
    </row>
    <row r="13" spans="1:7" x14ac:dyDescent="0.25">
      <c r="A13" s="547">
        <v>17000</v>
      </c>
      <c r="B13" s="546" t="s">
        <v>9</v>
      </c>
      <c r="C13" s="908">
        <v>2.7300000000000001E-2</v>
      </c>
      <c r="D13" s="901">
        <v>33693164</v>
      </c>
      <c r="E13" s="344"/>
      <c r="F13" s="900"/>
      <c r="G13" s="12"/>
    </row>
    <row r="14" spans="1:7" x14ac:dyDescent="0.25">
      <c r="A14" s="547">
        <v>18000</v>
      </c>
      <c r="B14" s="546" t="s">
        <v>10</v>
      </c>
      <c r="C14" s="908">
        <v>1.6899999999999998E-2</v>
      </c>
      <c r="D14" s="901">
        <v>20830074</v>
      </c>
      <c r="E14" s="344"/>
      <c r="F14" s="900"/>
      <c r="G14" s="12"/>
    </row>
    <row r="15" spans="1:7" x14ac:dyDescent="0.25">
      <c r="A15" s="547">
        <v>19000</v>
      </c>
      <c r="B15" s="546" t="s">
        <v>11</v>
      </c>
      <c r="C15" s="908">
        <v>1.4500000000000001E-2</v>
      </c>
      <c r="D15" s="901">
        <v>17963807</v>
      </c>
      <c r="E15" s="344"/>
      <c r="F15" s="900"/>
      <c r="G15" s="12"/>
    </row>
    <row r="16" spans="1:7" x14ac:dyDescent="0.25">
      <c r="A16" s="547">
        <v>21000</v>
      </c>
      <c r="B16" s="546" t="s">
        <v>12</v>
      </c>
      <c r="C16" s="909">
        <v>8.6400000000000005E-2</v>
      </c>
      <c r="D16" s="902">
        <v>106722283</v>
      </c>
      <c r="E16" s="344"/>
      <c r="F16" s="900"/>
      <c r="G16" s="12"/>
    </row>
    <row r="17" spans="1:7" x14ac:dyDescent="0.25">
      <c r="A17" s="547">
        <v>22000</v>
      </c>
      <c r="B17" s="546" t="s">
        <v>13</v>
      </c>
      <c r="C17" s="908">
        <v>2.4299999999999999E-2</v>
      </c>
      <c r="D17" s="901">
        <v>30016439</v>
      </c>
      <c r="E17" s="344"/>
      <c r="F17" s="900"/>
      <c r="G17" s="12"/>
    </row>
    <row r="18" spans="1:7" x14ac:dyDescent="0.25">
      <c r="A18" s="547">
        <v>23000</v>
      </c>
      <c r="B18" s="546" t="s">
        <v>14</v>
      </c>
      <c r="C18" s="908">
        <v>3.7100000000000001E-2</v>
      </c>
      <c r="D18" s="901">
        <v>45827155</v>
      </c>
      <c r="E18" s="344"/>
      <c r="F18" s="900"/>
      <c r="G18" s="12"/>
    </row>
    <row r="19" spans="1:7" x14ac:dyDescent="0.25">
      <c r="A19" s="547">
        <v>24000</v>
      </c>
      <c r="B19" s="546" t="s">
        <v>15</v>
      </c>
      <c r="C19" s="908">
        <v>2.1399999999999999E-2</v>
      </c>
      <c r="D19" s="901">
        <v>26401801</v>
      </c>
      <c r="E19" s="344"/>
      <c r="F19" s="900"/>
      <c r="G19" s="12"/>
    </row>
    <row r="20" spans="1:7" x14ac:dyDescent="0.25">
      <c r="A20" s="547">
        <v>25000</v>
      </c>
      <c r="B20" s="546" t="s">
        <v>16</v>
      </c>
      <c r="C20" s="908">
        <v>2.5499999999999998E-2</v>
      </c>
      <c r="D20" s="901">
        <v>31437583</v>
      </c>
      <c r="E20" s="344"/>
      <c r="F20" s="900"/>
      <c r="G20" s="12"/>
    </row>
    <row r="21" spans="1:7" x14ac:dyDescent="0.25">
      <c r="A21" s="547">
        <v>26000</v>
      </c>
      <c r="B21" s="546" t="s">
        <v>17</v>
      </c>
      <c r="C21" s="908">
        <v>6.8699999999999997E-2</v>
      </c>
      <c r="D21" s="901">
        <v>84790450</v>
      </c>
      <c r="E21" s="344"/>
      <c r="F21" s="900"/>
      <c r="G21" s="12"/>
    </row>
    <row r="22" spans="1:7" x14ac:dyDescent="0.25">
      <c r="A22" s="547">
        <v>27000</v>
      </c>
      <c r="B22" s="546" t="s">
        <v>18</v>
      </c>
      <c r="C22" s="908">
        <v>4.6100000000000002E-2</v>
      </c>
      <c r="D22" s="901">
        <v>56913700</v>
      </c>
      <c r="E22" s="344"/>
      <c r="F22" s="900"/>
      <c r="G22" s="12"/>
    </row>
    <row r="23" spans="1:7" x14ac:dyDescent="0.25">
      <c r="A23" s="547">
        <v>28000</v>
      </c>
      <c r="B23" s="546" t="s">
        <v>19</v>
      </c>
      <c r="C23" s="908">
        <v>3.0599999999999999E-2</v>
      </c>
      <c r="D23" s="901">
        <v>37793587</v>
      </c>
      <c r="E23" s="344"/>
      <c r="F23" s="900"/>
      <c r="G23" s="12"/>
    </row>
    <row r="24" spans="1:7" x14ac:dyDescent="0.25">
      <c r="A24" s="547">
        <v>31000</v>
      </c>
      <c r="B24" s="546" t="s">
        <v>20</v>
      </c>
      <c r="C24" s="908">
        <v>3.5900000000000001E-2</v>
      </c>
      <c r="D24" s="901">
        <v>44355853</v>
      </c>
      <c r="E24" s="344"/>
      <c r="F24" s="900"/>
      <c r="G24" s="12"/>
    </row>
    <row r="25" spans="1:7" x14ac:dyDescent="0.25">
      <c r="A25" s="547">
        <v>41000</v>
      </c>
      <c r="B25" s="546" t="s">
        <v>21</v>
      </c>
      <c r="C25" s="908">
        <v>5.0599999999999999E-2</v>
      </c>
      <c r="D25" s="901">
        <v>62479503</v>
      </c>
      <c r="E25" s="344"/>
      <c r="F25" s="900"/>
      <c r="G25" s="12"/>
    </row>
    <row r="26" spans="1:7" x14ac:dyDescent="0.25">
      <c r="A26" s="547">
        <v>43000</v>
      </c>
      <c r="B26" s="546" t="s">
        <v>22</v>
      </c>
      <c r="C26" s="908">
        <v>2.98E-2</v>
      </c>
      <c r="D26" s="901">
        <v>36828863</v>
      </c>
      <c r="E26" s="344"/>
      <c r="F26" s="900"/>
      <c r="G26" s="12"/>
    </row>
    <row r="27" spans="1:7" x14ac:dyDescent="0.25">
      <c r="A27" s="547">
        <v>51000</v>
      </c>
      <c r="B27" s="548" t="s">
        <v>23</v>
      </c>
      <c r="C27" s="909">
        <v>1.7100000000000001E-2</v>
      </c>
      <c r="D27" s="902">
        <v>21133198</v>
      </c>
      <c r="E27" s="344"/>
      <c r="F27" s="900"/>
      <c r="G27" s="12"/>
    </row>
    <row r="28" spans="1:7" x14ac:dyDescent="0.25">
      <c r="A28" s="547">
        <v>52000</v>
      </c>
      <c r="B28" s="548" t="s">
        <v>24</v>
      </c>
      <c r="C28" s="909">
        <v>4.7999999999999996E-3</v>
      </c>
      <c r="D28" s="902">
        <v>5867613</v>
      </c>
      <c r="E28" s="344"/>
      <c r="F28" s="900"/>
      <c r="G28" s="12"/>
    </row>
    <row r="29" spans="1:7" x14ac:dyDescent="0.25">
      <c r="A29" s="547">
        <v>53000</v>
      </c>
      <c r="B29" s="548" t="s">
        <v>25</v>
      </c>
      <c r="C29" s="909">
        <v>6.8999999999999999E-3</v>
      </c>
      <c r="D29" s="902">
        <v>8511521</v>
      </c>
      <c r="E29" s="344"/>
      <c r="F29" s="900"/>
      <c r="G29" s="12"/>
    </row>
    <row r="30" spans="1:7" x14ac:dyDescent="0.25">
      <c r="A30" s="547">
        <v>54000</v>
      </c>
      <c r="B30" s="548" t="s">
        <v>347</v>
      </c>
      <c r="C30" s="909">
        <v>9.9000000000000008E-3</v>
      </c>
      <c r="D30" s="902">
        <v>12276429</v>
      </c>
      <c r="E30" s="344"/>
      <c r="F30" s="900"/>
      <c r="G30" s="12"/>
    </row>
    <row r="31" spans="1:7" x14ac:dyDescent="0.25">
      <c r="A31" s="547">
        <v>55000</v>
      </c>
      <c r="B31" s="548" t="s">
        <v>26</v>
      </c>
      <c r="C31" s="909">
        <v>5.8999999999999999E-3</v>
      </c>
      <c r="D31" s="902">
        <v>7297502</v>
      </c>
      <c r="E31" s="344"/>
      <c r="F31" s="900"/>
      <c r="G31" s="12"/>
    </row>
    <row r="32" spans="1:7" ht="15.75" thickBot="1" x14ac:dyDescent="0.3">
      <c r="A32" s="549">
        <v>56000</v>
      </c>
      <c r="B32" s="504" t="s">
        <v>27</v>
      </c>
      <c r="C32" s="910">
        <v>8.0000000000000002E-3</v>
      </c>
      <c r="D32" s="903">
        <v>9850513</v>
      </c>
      <c r="E32" s="344"/>
      <c r="F32" s="900"/>
      <c r="G32" s="12"/>
    </row>
    <row r="33" spans="1:4" ht="15.75" thickBot="1" x14ac:dyDescent="0.3">
      <c r="A33" s="1159" t="s">
        <v>28</v>
      </c>
      <c r="B33" s="1160"/>
      <c r="C33" s="911">
        <f>SUM(C7:C32)</f>
        <v>1.0001</v>
      </c>
      <c r="D33" s="904">
        <f>SUM(D7:D32)</f>
        <v>1239232643</v>
      </c>
    </row>
    <row r="35" spans="1:4" x14ac:dyDescent="0.25">
      <c r="A35" s="710" t="s">
        <v>280</v>
      </c>
    </row>
  </sheetData>
  <mergeCells count="1">
    <mergeCell ref="A33:B33"/>
  </mergeCells>
  <hyperlinks>
    <hyperlink ref="A35" location="'0 Seznam'!A1" display="Seznam" xr:uid="{94FCE854-8B5C-4802-843A-57FBC76FF195}"/>
  </hyperlinks>
  <pageMargins left="0.70866141732283472" right="0.70866141732283472" top="0.78740157480314965" bottom="0.78740157480314965" header="0.31496062992125984" footer="0.31496062992125984"/>
  <pageSetup paperSize="9" scale="73" orientation="portrait" r:id="rId1"/>
  <headerFooter>
    <oddHeader xml:space="preserve">&amp;LČ. j.: 5674/2022-1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L31"/>
  <sheetViews>
    <sheetView zoomScale="85" zoomScaleNormal="85" workbookViewId="0">
      <selection activeCell="C2" sqref="C2"/>
    </sheetView>
  </sheetViews>
  <sheetFormatPr defaultRowHeight="15" x14ac:dyDescent="0.25"/>
  <cols>
    <col min="1" max="1" width="10.140625" style="534" customWidth="1"/>
    <col min="2" max="2" width="50.85546875" style="534" bestFit="1" customWidth="1"/>
    <col min="3" max="3" width="15.42578125" style="534" customWidth="1"/>
    <col min="4" max="4" width="45.28515625" style="534" bestFit="1" customWidth="1"/>
    <col min="5" max="10" width="18.7109375" style="534" customWidth="1"/>
    <col min="11" max="13" width="18.140625" style="534" customWidth="1"/>
    <col min="14" max="14" width="9.140625" style="534"/>
    <col min="15" max="15" width="16.42578125" style="534" bestFit="1" customWidth="1"/>
    <col min="16" max="16384" width="9.140625" style="534"/>
  </cols>
  <sheetData>
    <row r="1" spans="1:12" ht="27.75" customHeight="1" x14ac:dyDescent="0.25">
      <c r="A1" s="1161" t="s">
        <v>301</v>
      </c>
      <c r="B1" s="1161"/>
      <c r="C1" s="1161"/>
      <c r="D1" s="1161"/>
      <c r="E1" s="611"/>
      <c r="F1" s="611"/>
      <c r="G1" s="611"/>
      <c r="H1" s="611"/>
      <c r="I1" s="611"/>
      <c r="J1" s="611"/>
    </row>
    <row r="2" spans="1:12" ht="15.75" customHeight="1" x14ac:dyDescent="0.25">
      <c r="A2" s="611"/>
      <c r="B2" s="611"/>
      <c r="C2" s="611"/>
      <c r="D2" s="611"/>
      <c r="E2" s="611"/>
      <c r="F2" s="611"/>
      <c r="G2" s="611"/>
      <c r="H2" s="611"/>
      <c r="I2" s="611"/>
      <c r="J2" s="611"/>
    </row>
    <row r="3" spans="1:12" x14ac:dyDescent="0.25">
      <c r="A3" s="611"/>
      <c r="B3" s="649" t="s">
        <v>241</v>
      </c>
      <c r="C3" s="649" t="s">
        <v>242</v>
      </c>
      <c r="D3" s="611"/>
      <c r="E3" s="611"/>
      <c r="F3" s="611"/>
      <c r="G3" s="611"/>
      <c r="H3" s="611"/>
      <c r="I3" s="611"/>
      <c r="J3" s="611"/>
    </row>
    <row r="4" spans="1:12" x14ac:dyDescent="0.25">
      <c r="A4" s="611"/>
      <c r="B4" s="650" t="s">
        <v>120</v>
      </c>
      <c r="C4" s="651">
        <v>0.75</v>
      </c>
      <c r="D4" s="611"/>
      <c r="E4" s="611"/>
      <c r="F4" s="611"/>
      <c r="G4" s="611"/>
      <c r="H4" s="611"/>
      <c r="I4" s="611"/>
      <c r="J4" s="611"/>
    </row>
    <row r="5" spans="1:12" x14ac:dyDescent="0.25">
      <c r="A5" s="611"/>
      <c r="B5" s="650" t="s">
        <v>243</v>
      </c>
      <c r="C5" s="651">
        <v>0.1</v>
      </c>
      <c r="D5" s="611"/>
      <c r="E5" s="611"/>
      <c r="F5" s="611"/>
      <c r="G5" s="611"/>
      <c r="H5" s="611"/>
      <c r="I5" s="611"/>
      <c r="J5" s="611"/>
    </row>
    <row r="6" spans="1:12" x14ac:dyDescent="0.25">
      <c r="A6" s="611"/>
      <c r="B6" s="650" t="s">
        <v>244</v>
      </c>
      <c r="C6" s="651">
        <v>0.1</v>
      </c>
      <c r="D6" s="611"/>
      <c r="E6" s="611"/>
      <c r="F6" s="611"/>
      <c r="G6" s="611"/>
      <c r="H6" s="611"/>
      <c r="I6" s="611"/>
      <c r="J6" s="611"/>
    </row>
    <row r="7" spans="1:12" x14ac:dyDescent="0.25">
      <c r="A7" s="611"/>
      <c r="B7" s="650" t="s">
        <v>245</v>
      </c>
      <c r="C7" s="651">
        <v>0.05</v>
      </c>
      <c r="D7" s="611"/>
      <c r="E7" s="611"/>
      <c r="F7" s="611"/>
      <c r="G7" s="611"/>
      <c r="H7" s="611"/>
      <c r="I7" s="611"/>
      <c r="J7" s="611"/>
    </row>
    <row r="8" spans="1:12" x14ac:dyDescent="0.25">
      <c r="A8" s="611"/>
      <c r="B8" s="611"/>
      <c r="C8" s="611"/>
      <c r="D8" s="611"/>
      <c r="E8" s="611"/>
      <c r="F8" s="611"/>
      <c r="G8" s="611"/>
      <c r="H8" s="611"/>
      <c r="I8" s="611"/>
      <c r="J8" s="611"/>
    </row>
    <row r="9" spans="1:12" x14ac:dyDescent="0.25">
      <c r="A9" s="611"/>
      <c r="B9" s="652" t="s">
        <v>307</v>
      </c>
      <c r="C9" s="583">
        <f>'1 Bilance'!O52</f>
        <v>100000000</v>
      </c>
      <c r="D9" s="611"/>
      <c r="E9" s="611"/>
      <c r="F9" s="611"/>
      <c r="G9" s="611"/>
      <c r="H9" s="611"/>
      <c r="I9" s="611"/>
      <c r="J9" s="611"/>
    </row>
    <row r="10" spans="1:12" x14ac:dyDescent="0.25">
      <c r="A10" s="611"/>
      <c r="B10" s="611"/>
      <c r="C10" s="611"/>
      <c r="D10" s="611"/>
      <c r="E10" s="611"/>
      <c r="F10" s="611"/>
      <c r="G10" s="611"/>
      <c r="H10" s="611"/>
      <c r="I10" s="611"/>
      <c r="J10" s="611"/>
    </row>
    <row r="11" spans="1:12" ht="15.75" thickBot="1" x14ac:dyDescent="0.3">
      <c r="A11" s="611"/>
      <c r="B11" s="611"/>
      <c r="C11" s="611"/>
      <c r="D11" s="611"/>
      <c r="E11" s="611"/>
      <c r="F11" s="611"/>
      <c r="G11" s="611"/>
      <c r="H11" s="611"/>
      <c r="I11" s="611"/>
      <c r="J11" s="611"/>
    </row>
    <row r="12" spans="1:12" ht="45.75" thickBot="1" x14ac:dyDescent="0.3">
      <c r="A12" s="653" t="s">
        <v>2</v>
      </c>
      <c r="B12" s="654" t="s">
        <v>246</v>
      </c>
      <c r="C12" s="654" t="s">
        <v>183</v>
      </c>
      <c r="D12" s="655" t="s">
        <v>247</v>
      </c>
      <c r="E12" s="656" t="s">
        <v>120</v>
      </c>
      <c r="F12" s="657" t="s">
        <v>243</v>
      </c>
      <c r="G12" s="657" t="s">
        <v>244</v>
      </c>
      <c r="H12" s="658" t="s">
        <v>245</v>
      </c>
      <c r="I12" s="656" t="s">
        <v>248</v>
      </c>
      <c r="J12" s="659" t="s">
        <v>145</v>
      </c>
    </row>
    <row r="13" spans="1:12" x14ac:dyDescent="0.25">
      <c r="A13" s="648" t="s">
        <v>249</v>
      </c>
      <c r="B13" s="844" t="s">
        <v>6</v>
      </c>
      <c r="C13" s="660">
        <v>13530</v>
      </c>
      <c r="D13" s="848" t="s">
        <v>250</v>
      </c>
      <c r="E13" s="832">
        <v>6.0127317562302308E-2</v>
      </c>
      <c r="F13" s="833">
        <v>4.7399126571026698E-2</v>
      </c>
      <c r="G13" s="833">
        <v>7.674561805475999E-2</v>
      </c>
      <c r="H13" s="627">
        <v>5.6756117677268368E-2</v>
      </c>
      <c r="I13" s="834">
        <f>$C$4*E13+$C$5*F13+$C$6*G13+$C$7*H13</f>
        <v>6.0347768518168823E-2</v>
      </c>
      <c r="J13" s="630">
        <f>ROUND(I13*$C$9,0)</f>
        <v>6034777</v>
      </c>
      <c r="L13" s="12"/>
    </row>
    <row r="14" spans="1:12" x14ac:dyDescent="0.25">
      <c r="A14" s="565" t="s">
        <v>251</v>
      </c>
      <c r="B14" s="845" t="s">
        <v>9</v>
      </c>
      <c r="C14" s="661">
        <v>17500</v>
      </c>
      <c r="D14" s="849" t="s">
        <v>252</v>
      </c>
      <c r="E14" s="835">
        <v>6.1460570697095478E-2</v>
      </c>
      <c r="F14" s="836">
        <v>5.2129049998445781E-2</v>
      </c>
      <c r="G14" s="836">
        <v>2.2598522167487686E-2</v>
      </c>
      <c r="H14" s="568">
        <v>5.5077388127572104E-2</v>
      </c>
      <c r="I14" s="835">
        <f t="shared" ref="I14:I28" si="0">$C$4*E14+$C$5*F14+$C$6*G14+$C$7*H14</f>
        <v>5.6322054645793561E-2</v>
      </c>
      <c r="J14" s="507">
        <f t="shared" ref="J14:J28" si="1">ROUND(I14*$C$9,0)</f>
        <v>5632205</v>
      </c>
      <c r="L14" s="12"/>
    </row>
    <row r="15" spans="1:12" ht="15" customHeight="1" x14ac:dyDescent="0.25">
      <c r="A15" s="565" t="s">
        <v>253</v>
      </c>
      <c r="B15" s="845" t="s">
        <v>12</v>
      </c>
      <c r="C15" s="661">
        <v>21450</v>
      </c>
      <c r="D15" s="849" t="s">
        <v>254</v>
      </c>
      <c r="E15" s="835">
        <v>9.2008307688243779E-2</v>
      </c>
      <c r="F15" s="836">
        <v>0.10871368038063157</v>
      </c>
      <c r="G15" s="836">
        <v>0.15146924046282506</v>
      </c>
      <c r="H15" s="568">
        <v>2.99616267992691E-2</v>
      </c>
      <c r="I15" s="835">
        <f t="shared" si="0"/>
        <v>9.6522604190491967E-2</v>
      </c>
      <c r="J15" s="507">
        <f>ROUND(I15*$C$9+0.1,0)</f>
        <v>9652261</v>
      </c>
      <c r="L15" s="12"/>
    </row>
    <row r="16" spans="1:12" ht="15" customHeight="1" x14ac:dyDescent="0.25">
      <c r="A16" s="565" t="s">
        <v>255</v>
      </c>
      <c r="B16" s="845" t="s">
        <v>14</v>
      </c>
      <c r="C16" s="661">
        <v>23410</v>
      </c>
      <c r="D16" s="849" t="s">
        <v>256</v>
      </c>
      <c r="E16" s="835">
        <v>7.1683858782507617E-2</v>
      </c>
      <c r="F16" s="836">
        <v>5.1020272995118042E-2</v>
      </c>
      <c r="G16" s="836">
        <v>0</v>
      </c>
      <c r="H16" s="568">
        <v>2.7494084973861514E-2</v>
      </c>
      <c r="I16" s="835">
        <f t="shared" si="0"/>
        <v>6.02396256350856E-2</v>
      </c>
      <c r="J16" s="507">
        <f t="shared" si="1"/>
        <v>6023963</v>
      </c>
      <c r="L16" s="12"/>
    </row>
    <row r="17" spans="1:12" ht="15" customHeight="1" x14ac:dyDescent="0.25">
      <c r="A17" s="565" t="s">
        <v>257</v>
      </c>
      <c r="B17" s="845" t="s">
        <v>15</v>
      </c>
      <c r="C17" s="661">
        <v>24520</v>
      </c>
      <c r="D17" s="849" t="s">
        <v>258</v>
      </c>
      <c r="E17" s="835">
        <v>9.9031691869117429E-3</v>
      </c>
      <c r="F17" s="836">
        <v>2.4972881462589441E-2</v>
      </c>
      <c r="G17" s="836">
        <v>0</v>
      </c>
      <c r="H17" s="568">
        <v>4.7441355990615018E-2</v>
      </c>
      <c r="I17" s="835">
        <f t="shared" si="0"/>
        <v>1.2296732835973502E-2</v>
      </c>
      <c r="J17" s="507">
        <f t="shared" si="1"/>
        <v>1229673</v>
      </c>
      <c r="L17" s="12"/>
    </row>
    <row r="18" spans="1:12" ht="15" customHeight="1" x14ac:dyDescent="0.25">
      <c r="A18" s="565" t="s">
        <v>259</v>
      </c>
      <c r="B18" s="845" t="s">
        <v>16</v>
      </c>
      <c r="C18" s="661">
        <v>25110</v>
      </c>
      <c r="D18" s="849" t="s">
        <v>260</v>
      </c>
      <c r="E18" s="835">
        <v>4.7601522249204947E-3</v>
      </c>
      <c r="F18" s="836">
        <v>8.6665960104521864E-3</v>
      </c>
      <c r="G18" s="836">
        <v>0</v>
      </c>
      <c r="H18" s="568">
        <v>7.1068753122031231E-2</v>
      </c>
      <c r="I18" s="835">
        <f t="shared" si="0"/>
        <v>7.9902114258371508E-3</v>
      </c>
      <c r="J18" s="507">
        <f t="shared" si="1"/>
        <v>799021</v>
      </c>
      <c r="L18" s="12"/>
    </row>
    <row r="19" spans="1:12" ht="15" customHeight="1" x14ac:dyDescent="0.25">
      <c r="A19" s="565" t="s">
        <v>261</v>
      </c>
      <c r="B19" s="845" t="s">
        <v>17</v>
      </c>
      <c r="C19" s="661">
        <v>26410</v>
      </c>
      <c r="D19" s="849" t="s">
        <v>254</v>
      </c>
      <c r="E19" s="835">
        <v>2.1056221913406285E-2</v>
      </c>
      <c r="F19" s="836">
        <v>4.1693441252123986E-2</v>
      </c>
      <c r="G19" s="836">
        <v>4.2406060258907086E-2</v>
      </c>
      <c r="H19" s="568">
        <v>3.322360221093059E-2</v>
      </c>
      <c r="I19" s="835">
        <f t="shared" si="0"/>
        <v>2.5863296696704348E-2</v>
      </c>
      <c r="J19" s="507">
        <f t="shared" si="1"/>
        <v>2586330</v>
      </c>
      <c r="L19" s="12"/>
    </row>
    <row r="20" spans="1:12" ht="15" customHeight="1" x14ac:dyDescent="0.25">
      <c r="A20" s="565" t="s">
        <v>261</v>
      </c>
      <c r="B20" s="845" t="s">
        <v>17</v>
      </c>
      <c r="C20" s="661">
        <v>26420</v>
      </c>
      <c r="D20" s="849" t="s">
        <v>262</v>
      </c>
      <c r="E20" s="835">
        <v>8.2705833301503801E-2</v>
      </c>
      <c r="F20" s="836">
        <v>3.9551290665646041E-2</v>
      </c>
      <c r="G20" s="836">
        <v>2.0433325695956007E-2</v>
      </c>
      <c r="H20" s="568">
        <v>5.2700239506984999E-2</v>
      </c>
      <c r="I20" s="835">
        <f t="shared" si="0"/>
        <v>7.0662848587637314E-2</v>
      </c>
      <c r="J20" s="507">
        <f t="shared" si="1"/>
        <v>7066285</v>
      </c>
      <c r="L20" s="12"/>
    </row>
    <row r="21" spans="1:12" ht="15" customHeight="1" x14ac:dyDescent="0.25">
      <c r="A21" s="565" t="s">
        <v>263</v>
      </c>
      <c r="B21" s="845" t="s">
        <v>19</v>
      </c>
      <c r="C21" s="661">
        <v>28130</v>
      </c>
      <c r="D21" s="849" t="s">
        <v>264</v>
      </c>
      <c r="E21" s="835">
        <v>6.0617781015863258E-2</v>
      </c>
      <c r="F21" s="836">
        <v>5.3974498555815049E-2</v>
      </c>
      <c r="G21" s="836">
        <v>5.8189655172413791E-2</v>
      </c>
      <c r="H21" s="568">
        <v>2.2535552684259393E-2</v>
      </c>
      <c r="I21" s="835">
        <f t="shared" si="0"/>
        <v>5.7806528768933295E-2</v>
      </c>
      <c r="J21" s="507">
        <f t="shared" si="1"/>
        <v>5780653</v>
      </c>
      <c r="L21" s="12"/>
    </row>
    <row r="22" spans="1:12" ht="15" customHeight="1" x14ac:dyDescent="0.25">
      <c r="A22" s="565" t="s">
        <v>265</v>
      </c>
      <c r="B22" s="845" t="s">
        <v>23</v>
      </c>
      <c r="C22" s="661">
        <v>51110</v>
      </c>
      <c r="D22" s="849" t="s">
        <v>266</v>
      </c>
      <c r="E22" s="835">
        <v>0.10922671710845475</v>
      </c>
      <c r="F22" s="836">
        <v>0.10788047709666254</v>
      </c>
      <c r="G22" s="836">
        <v>0.13111753923702602</v>
      </c>
      <c r="H22" s="568">
        <v>8.9058212443377069E-2</v>
      </c>
      <c r="I22" s="835">
        <f t="shared" si="0"/>
        <v>0.11027275008687876</v>
      </c>
      <c r="J22" s="507">
        <f t="shared" si="1"/>
        <v>11027275</v>
      </c>
      <c r="L22" s="12"/>
    </row>
    <row r="23" spans="1:12" ht="15" customHeight="1" x14ac:dyDescent="0.25">
      <c r="A23" s="565" t="s">
        <v>265</v>
      </c>
      <c r="B23" s="845" t="s">
        <v>23</v>
      </c>
      <c r="C23" s="661">
        <v>51210</v>
      </c>
      <c r="D23" s="849" t="s">
        <v>267</v>
      </c>
      <c r="E23" s="835">
        <v>4.1628432548089678E-2</v>
      </c>
      <c r="F23" s="836">
        <v>8.1410338349000216E-2</v>
      </c>
      <c r="G23" s="836">
        <v>0.15884837896666287</v>
      </c>
      <c r="H23" s="568">
        <v>7.5575081635070915E-2</v>
      </c>
      <c r="I23" s="835">
        <f t="shared" si="0"/>
        <v>5.9025950224387114E-2</v>
      </c>
      <c r="J23" s="507">
        <f t="shared" si="1"/>
        <v>5902595</v>
      </c>
      <c r="L23" s="12"/>
    </row>
    <row r="24" spans="1:12" ht="15" customHeight="1" x14ac:dyDescent="0.25">
      <c r="A24" s="565" t="s">
        <v>265</v>
      </c>
      <c r="B24" s="845" t="s">
        <v>23</v>
      </c>
      <c r="C24" s="661">
        <v>51310</v>
      </c>
      <c r="D24" s="849" t="s">
        <v>268</v>
      </c>
      <c r="E24" s="835">
        <v>7.2435639779094688E-2</v>
      </c>
      <c r="F24" s="836">
        <v>7.3467367938853584E-2</v>
      </c>
      <c r="G24" s="836">
        <v>4.3689139649444382E-2</v>
      </c>
      <c r="H24" s="568">
        <v>8.7717130930459269E-2</v>
      </c>
      <c r="I24" s="835">
        <f t="shared" si="0"/>
        <v>7.0428237139673777E-2</v>
      </c>
      <c r="J24" s="507">
        <f t="shared" si="1"/>
        <v>7042824</v>
      </c>
      <c r="L24" s="12"/>
    </row>
    <row r="25" spans="1:12" ht="15" customHeight="1" x14ac:dyDescent="0.25">
      <c r="A25" s="565" t="s">
        <v>269</v>
      </c>
      <c r="B25" s="845" t="s">
        <v>24</v>
      </c>
      <c r="C25" s="661">
        <v>52900</v>
      </c>
      <c r="D25" s="849" t="s">
        <v>270</v>
      </c>
      <c r="E25" s="835">
        <v>7.7355677431952319E-2</v>
      </c>
      <c r="F25" s="836">
        <v>3.4819659728127436E-2</v>
      </c>
      <c r="G25" s="836">
        <v>5.939111009279413E-2</v>
      </c>
      <c r="H25" s="568">
        <v>8.8538319794280174E-2</v>
      </c>
      <c r="I25" s="835">
        <f t="shared" si="0"/>
        <v>7.1864751045770406E-2</v>
      </c>
      <c r="J25" s="507">
        <f t="shared" si="1"/>
        <v>7186475</v>
      </c>
      <c r="L25" s="12"/>
    </row>
    <row r="26" spans="1:12" ht="15" customHeight="1" x14ac:dyDescent="0.25">
      <c r="A26" s="565" t="s">
        <v>271</v>
      </c>
      <c r="B26" s="845" t="s">
        <v>25</v>
      </c>
      <c r="C26" s="661">
        <v>53900</v>
      </c>
      <c r="D26" s="849" t="s">
        <v>270</v>
      </c>
      <c r="E26" s="835">
        <v>0.1210307344841705</v>
      </c>
      <c r="F26" s="836">
        <v>6.8764668605602514E-2</v>
      </c>
      <c r="G26" s="836">
        <v>9.3986997365104824E-2</v>
      </c>
      <c r="H26" s="568">
        <v>6.4311107968164444E-2</v>
      </c>
      <c r="I26" s="835">
        <f t="shared" si="0"/>
        <v>0.11026377285860682</v>
      </c>
      <c r="J26" s="507">
        <f t="shared" si="1"/>
        <v>11026377</v>
      </c>
      <c r="L26" s="12"/>
    </row>
    <row r="27" spans="1:12" ht="15" customHeight="1" x14ac:dyDescent="0.25">
      <c r="A27" s="570" t="s">
        <v>272</v>
      </c>
      <c r="B27" s="846" t="s">
        <v>347</v>
      </c>
      <c r="C27" s="662">
        <v>54510</v>
      </c>
      <c r="D27" s="850" t="s">
        <v>273</v>
      </c>
      <c r="E27" s="835">
        <v>6.9488727167065098E-2</v>
      </c>
      <c r="F27" s="836">
        <v>0.12958347465670822</v>
      </c>
      <c r="G27" s="836">
        <v>8.8629854507961958E-2</v>
      </c>
      <c r="H27" s="568">
        <v>0.1088181069581322</v>
      </c>
      <c r="I27" s="835">
        <f t="shared" si="0"/>
        <v>7.9378783639672462E-2</v>
      </c>
      <c r="J27" s="507">
        <f t="shared" si="1"/>
        <v>7937878</v>
      </c>
      <c r="L27" s="12"/>
    </row>
    <row r="28" spans="1:12" ht="15.75" customHeight="1" thickBot="1" x14ac:dyDescent="0.3">
      <c r="A28" s="586" t="s">
        <v>272</v>
      </c>
      <c r="B28" s="847" t="s">
        <v>347</v>
      </c>
      <c r="C28" s="663">
        <v>54530</v>
      </c>
      <c r="D28" s="851" t="s">
        <v>267</v>
      </c>
      <c r="E28" s="837">
        <v>4.4510859108418323E-2</v>
      </c>
      <c r="F28" s="838">
        <v>7.5953175733196696E-2</v>
      </c>
      <c r="G28" s="838">
        <v>5.24945583686562E-2</v>
      </c>
      <c r="H28" s="635">
        <v>8.9723319177723679E-2</v>
      </c>
      <c r="I28" s="837">
        <f t="shared" si="0"/>
        <v>5.0714083700385222E-2</v>
      </c>
      <c r="J28" s="639">
        <f t="shared" si="1"/>
        <v>5071408</v>
      </c>
      <c r="L28" s="12"/>
    </row>
    <row r="29" spans="1:12" ht="15.75" customHeight="1" thickBot="1" x14ac:dyDescent="0.3">
      <c r="A29" s="1162" t="s">
        <v>127</v>
      </c>
      <c r="B29" s="1163"/>
      <c r="C29" s="1163"/>
      <c r="D29" s="1163"/>
      <c r="E29" s="839">
        <f>SUM(E13:E28)</f>
        <v>1</v>
      </c>
      <c r="F29" s="840">
        <f t="shared" ref="F29:J29" si="2">SUM(F13:F28)</f>
        <v>0.99999999999999989</v>
      </c>
      <c r="G29" s="840">
        <f t="shared" si="2"/>
        <v>1.0000000000000002</v>
      </c>
      <c r="H29" s="841">
        <f t="shared" si="2"/>
        <v>1</v>
      </c>
      <c r="I29" s="842">
        <f t="shared" si="2"/>
        <v>1.0000000000000002</v>
      </c>
      <c r="J29" s="843">
        <f t="shared" si="2"/>
        <v>100000000</v>
      </c>
    </row>
    <row r="31" spans="1:12" ht="15" customHeight="1" x14ac:dyDescent="0.25">
      <c r="A31" s="710" t="s">
        <v>280</v>
      </c>
    </row>
  </sheetData>
  <mergeCells count="2">
    <mergeCell ref="A1:D1"/>
    <mergeCell ref="A29:D29"/>
  </mergeCells>
  <hyperlinks>
    <hyperlink ref="A31" location="'0 Seznam'!A1" display="Seznam" xr:uid="{A491B748-68D3-42EC-9BD0-06650C97EF5B}"/>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ignoredErrors>
    <ignoredError sqref="J15"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39"/>
  <sheetViews>
    <sheetView zoomScale="85" zoomScaleNormal="85" workbookViewId="0">
      <selection activeCell="C2" sqref="C2"/>
    </sheetView>
  </sheetViews>
  <sheetFormatPr defaultRowHeight="15" x14ac:dyDescent="0.25"/>
  <cols>
    <col min="1" max="1" width="11.140625" style="43" customWidth="1"/>
    <col min="2" max="2" width="61.85546875" style="43" customWidth="1"/>
    <col min="3" max="5" width="15.7109375" style="43" customWidth="1"/>
    <col min="6" max="6" width="9.140625" style="43"/>
    <col min="7" max="7" width="14.5703125" style="43" customWidth="1"/>
    <col min="8" max="16384" width="9.140625" style="43"/>
  </cols>
  <sheetData>
    <row r="1" spans="1:8" ht="27.75" customHeight="1" x14ac:dyDescent="0.25">
      <c r="A1" s="1161" t="s">
        <v>148</v>
      </c>
      <c r="B1" s="1161"/>
      <c r="C1" s="1161"/>
      <c r="D1" s="1161"/>
      <c r="E1" s="1161"/>
    </row>
    <row r="2" spans="1:8" ht="15.75" x14ac:dyDescent="0.25">
      <c r="A2" s="460"/>
      <c r="B2" s="460"/>
      <c r="C2" s="460"/>
      <c r="D2" s="460"/>
      <c r="E2" s="460"/>
    </row>
    <row r="3" spans="1:8" ht="47.25" customHeight="1" x14ac:dyDescent="0.25">
      <c r="A3" s="1166" t="s">
        <v>302</v>
      </c>
      <c r="B3" s="1166"/>
      <c r="C3" s="1166"/>
      <c r="D3" s="1166"/>
      <c r="E3" s="1166"/>
    </row>
    <row r="4" spans="1:8" x14ac:dyDescent="0.25">
      <c r="A4" s="461"/>
      <c r="B4" s="461"/>
      <c r="C4" s="461"/>
      <c r="D4" s="461"/>
      <c r="E4" s="461"/>
    </row>
    <row r="5" spans="1:8" x14ac:dyDescent="0.25">
      <c r="A5" s="462" t="s">
        <v>149</v>
      </c>
      <c r="B5" s="463"/>
      <c r="C5" s="463"/>
      <c r="D5" s="464"/>
      <c r="E5" s="465">
        <f>'1 Bilance'!O44</f>
        <v>15000000</v>
      </c>
    </row>
    <row r="6" spans="1:8" x14ac:dyDescent="0.25">
      <c r="A6" s="462" t="s">
        <v>150</v>
      </c>
      <c r="B6" s="463"/>
      <c r="C6" s="463"/>
      <c r="D6" s="464"/>
      <c r="E6" s="466">
        <f>E5/D37</f>
        <v>35.730698866029094</v>
      </c>
    </row>
    <row r="7" spans="1:8" x14ac:dyDescent="0.25">
      <c r="A7" s="467"/>
      <c r="B7" s="467"/>
      <c r="C7" s="467"/>
      <c r="D7" s="467"/>
      <c r="E7" s="468"/>
    </row>
    <row r="8" spans="1:8" ht="15.75" thickBot="1" x14ac:dyDescent="0.3">
      <c r="A8" s="469"/>
      <c r="B8" s="469"/>
      <c r="C8" s="469"/>
      <c r="D8" s="469"/>
      <c r="E8" s="470" t="s">
        <v>0</v>
      </c>
    </row>
    <row r="9" spans="1:8" x14ac:dyDescent="0.25">
      <c r="A9" s="1167" t="s">
        <v>2</v>
      </c>
      <c r="B9" s="1169" t="s">
        <v>3</v>
      </c>
      <c r="C9" s="1171" t="s">
        <v>151</v>
      </c>
      <c r="D9" s="1172"/>
      <c r="E9" s="1173" t="s">
        <v>303</v>
      </c>
    </row>
    <row r="10" spans="1:8" ht="45.75" thickBot="1" x14ac:dyDescent="0.3">
      <c r="A10" s="1168"/>
      <c r="B10" s="1170"/>
      <c r="C10" s="471" t="s">
        <v>152</v>
      </c>
      <c r="D10" s="472" t="s">
        <v>153</v>
      </c>
      <c r="E10" s="1174"/>
    </row>
    <row r="11" spans="1:8" x14ac:dyDescent="0.25">
      <c r="A11" s="473">
        <v>11000</v>
      </c>
      <c r="B11" s="474" t="s">
        <v>4</v>
      </c>
      <c r="C11" s="475">
        <v>5206</v>
      </c>
      <c r="D11" s="476">
        <v>106907.8</v>
      </c>
      <c r="E11" s="477">
        <f>ROUND(D11*$E$6,-3)</f>
        <v>3820000</v>
      </c>
      <c r="G11" s="705"/>
    </row>
    <row r="12" spans="1:8" x14ac:dyDescent="0.25">
      <c r="A12" s="478">
        <v>12000</v>
      </c>
      <c r="B12" s="479" t="s">
        <v>5</v>
      </c>
      <c r="C12" s="480">
        <v>363</v>
      </c>
      <c r="D12" s="481">
        <v>8153.9</v>
      </c>
      <c r="E12" s="477">
        <f t="shared" ref="E12:E36" si="0">ROUND(D12*$E$6,-3)</f>
        <v>291000</v>
      </c>
      <c r="G12" s="12"/>
      <c r="H12" s="664"/>
    </row>
    <row r="13" spans="1:8" x14ac:dyDescent="0.25">
      <c r="A13" s="478">
        <v>13000</v>
      </c>
      <c r="B13" s="479" t="s">
        <v>6</v>
      </c>
      <c r="C13" s="480">
        <v>798</v>
      </c>
      <c r="D13" s="481">
        <v>8713.1</v>
      </c>
      <c r="E13" s="477">
        <f t="shared" si="0"/>
        <v>311000</v>
      </c>
      <c r="G13" s="12"/>
      <c r="H13" s="664"/>
    </row>
    <row r="14" spans="1:8" x14ac:dyDescent="0.25">
      <c r="A14" s="478">
        <v>14000</v>
      </c>
      <c r="B14" s="479" t="s">
        <v>7</v>
      </c>
      <c r="C14" s="480">
        <v>2951</v>
      </c>
      <c r="D14" s="481">
        <v>32928</v>
      </c>
      <c r="E14" s="477">
        <f t="shared" si="0"/>
        <v>1177000</v>
      </c>
      <c r="G14" s="12"/>
      <c r="H14" s="664"/>
    </row>
    <row r="15" spans="1:8" x14ac:dyDescent="0.25">
      <c r="A15" s="478">
        <v>15000</v>
      </c>
      <c r="B15" s="479" t="s">
        <v>8</v>
      </c>
      <c r="C15" s="480">
        <v>998</v>
      </c>
      <c r="D15" s="481">
        <v>15465.1</v>
      </c>
      <c r="E15" s="477">
        <f t="shared" si="0"/>
        <v>553000</v>
      </c>
      <c r="G15" s="12"/>
      <c r="H15" s="664"/>
    </row>
    <row r="16" spans="1:8" x14ac:dyDescent="0.25">
      <c r="A16" s="478">
        <v>16000</v>
      </c>
      <c r="B16" s="479" t="s">
        <v>335</v>
      </c>
      <c r="C16" s="480">
        <v>45</v>
      </c>
      <c r="D16" s="481">
        <v>594.70000000000005</v>
      </c>
      <c r="E16" s="477">
        <f t="shared" si="0"/>
        <v>21000</v>
      </c>
      <c r="G16" s="12"/>
      <c r="H16" s="664"/>
    </row>
    <row r="17" spans="1:8" x14ac:dyDescent="0.25">
      <c r="A17" s="478">
        <v>17000</v>
      </c>
      <c r="B17" s="479" t="s">
        <v>9</v>
      </c>
      <c r="C17" s="480">
        <v>857</v>
      </c>
      <c r="D17" s="481">
        <v>18232.599999999999</v>
      </c>
      <c r="E17" s="477">
        <f t="shared" si="0"/>
        <v>651000</v>
      </c>
      <c r="G17" s="12"/>
      <c r="H17" s="664"/>
    </row>
    <row r="18" spans="1:8" x14ac:dyDescent="0.25">
      <c r="A18" s="478">
        <v>18000</v>
      </c>
      <c r="B18" s="479" t="s">
        <v>10</v>
      </c>
      <c r="C18" s="480">
        <v>478</v>
      </c>
      <c r="D18" s="481">
        <v>3112.7</v>
      </c>
      <c r="E18" s="477">
        <f t="shared" si="0"/>
        <v>111000</v>
      </c>
      <c r="G18" s="12"/>
      <c r="H18" s="664"/>
    </row>
    <row r="19" spans="1:8" x14ac:dyDescent="0.25">
      <c r="A19" s="478">
        <v>19000</v>
      </c>
      <c r="B19" s="479" t="s">
        <v>11</v>
      </c>
      <c r="C19" s="480">
        <v>279</v>
      </c>
      <c r="D19" s="481">
        <v>7244.6</v>
      </c>
      <c r="E19" s="477">
        <f t="shared" si="0"/>
        <v>259000</v>
      </c>
      <c r="G19" s="12"/>
      <c r="H19" s="664"/>
    </row>
    <row r="20" spans="1:8" x14ac:dyDescent="0.25">
      <c r="A20" s="478">
        <v>21000</v>
      </c>
      <c r="B20" s="479" t="s">
        <v>12</v>
      </c>
      <c r="C20" s="480">
        <v>564</v>
      </c>
      <c r="D20" s="481">
        <v>19294.900000000001</v>
      </c>
      <c r="E20" s="477">
        <f t="shared" si="0"/>
        <v>689000</v>
      </c>
      <c r="G20" s="12"/>
      <c r="H20" s="664"/>
    </row>
    <row r="21" spans="1:8" x14ac:dyDescent="0.25">
      <c r="A21" s="478">
        <v>22000</v>
      </c>
      <c r="B21" s="479" t="s">
        <v>13</v>
      </c>
      <c r="C21" s="480">
        <v>168</v>
      </c>
      <c r="D21" s="481">
        <v>6410.8</v>
      </c>
      <c r="E21" s="477">
        <f t="shared" si="0"/>
        <v>229000</v>
      </c>
      <c r="G21" s="12"/>
      <c r="H21" s="664"/>
    </row>
    <row r="22" spans="1:8" x14ac:dyDescent="0.25">
      <c r="A22" s="478">
        <v>23000</v>
      </c>
      <c r="B22" s="479" t="s">
        <v>14</v>
      </c>
      <c r="C22" s="480">
        <v>3920</v>
      </c>
      <c r="D22" s="481">
        <v>62289.9</v>
      </c>
      <c r="E22" s="477">
        <f t="shared" si="0"/>
        <v>2226000</v>
      </c>
      <c r="G22" s="12"/>
      <c r="H22" s="664"/>
    </row>
    <row r="23" spans="1:8" x14ac:dyDescent="0.25">
      <c r="A23" s="478">
        <v>24000</v>
      </c>
      <c r="B23" s="479" t="s">
        <v>15</v>
      </c>
      <c r="C23" s="480">
        <v>930</v>
      </c>
      <c r="D23" s="481">
        <v>22798.7</v>
      </c>
      <c r="E23" s="477">
        <f t="shared" si="0"/>
        <v>815000</v>
      </c>
      <c r="G23" s="12"/>
      <c r="H23" s="664"/>
    </row>
    <row r="24" spans="1:8" x14ac:dyDescent="0.25">
      <c r="A24" s="478">
        <v>25000</v>
      </c>
      <c r="B24" s="479" t="s">
        <v>16</v>
      </c>
      <c r="C24" s="480">
        <v>171</v>
      </c>
      <c r="D24" s="481">
        <v>2443.1999999999998</v>
      </c>
      <c r="E24" s="477">
        <f t="shared" si="0"/>
        <v>87000</v>
      </c>
      <c r="G24" s="12"/>
      <c r="H24" s="664"/>
    </row>
    <row r="25" spans="1:8" x14ac:dyDescent="0.25">
      <c r="A25" s="478">
        <v>26000</v>
      </c>
      <c r="B25" s="479" t="s">
        <v>17</v>
      </c>
      <c r="C25" s="480">
        <v>267</v>
      </c>
      <c r="D25" s="481">
        <v>4308.7</v>
      </c>
      <c r="E25" s="477">
        <f t="shared" si="0"/>
        <v>154000</v>
      </c>
      <c r="G25" s="12"/>
      <c r="H25" s="664"/>
    </row>
    <row r="26" spans="1:8" x14ac:dyDescent="0.25">
      <c r="A26" s="478">
        <v>27000</v>
      </c>
      <c r="B26" s="479" t="s">
        <v>18</v>
      </c>
      <c r="C26" s="480">
        <v>310</v>
      </c>
      <c r="D26" s="481">
        <v>3679.77</v>
      </c>
      <c r="E26" s="477">
        <f t="shared" si="0"/>
        <v>131000</v>
      </c>
      <c r="G26" s="12"/>
      <c r="H26" s="664"/>
    </row>
    <row r="27" spans="1:8" x14ac:dyDescent="0.25">
      <c r="A27" s="478">
        <v>28000</v>
      </c>
      <c r="B27" s="479" t="s">
        <v>19</v>
      </c>
      <c r="C27" s="480">
        <v>570</v>
      </c>
      <c r="D27" s="481">
        <v>9562.7999999999993</v>
      </c>
      <c r="E27" s="477">
        <f t="shared" si="0"/>
        <v>342000</v>
      </c>
      <c r="G27" s="12"/>
      <c r="H27" s="664"/>
    </row>
    <row r="28" spans="1:8" x14ac:dyDescent="0.25">
      <c r="A28" s="478">
        <v>31000</v>
      </c>
      <c r="B28" s="479" t="s">
        <v>20</v>
      </c>
      <c r="C28" s="480">
        <v>1855</v>
      </c>
      <c r="D28" s="481">
        <v>47600.7</v>
      </c>
      <c r="E28" s="477">
        <f t="shared" si="0"/>
        <v>1701000</v>
      </c>
      <c r="G28" s="12"/>
      <c r="H28" s="664"/>
    </row>
    <row r="29" spans="1:8" x14ac:dyDescent="0.25">
      <c r="A29" s="478">
        <v>41000</v>
      </c>
      <c r="B29" s="479" t="s">
        <v>21</v>
      </c>
      <c r="C29" s="480">
        <v>11807</v>
      </c>
      <c r="D29" s="481">
        <v>21765.599999999999</v>
      </c>
      <c r="E29" s="477">
        <f t="shared" si="0"/>
        <v>778000</v>
      </c>
      <c r="G29" s="12"/>
      <c r="H29" s="664"/>
    </row>
    <row r="30" spans="1:8" x14ac:dyDescent="0.25">
      <c r="A30" s="478">
        <v>43000</v>
      </c>
      <c r="B30" s="479" t="s">
        <v>22</v>
      </c>
      <c r="C30" s="480">
        <v>980</v>
      </c>
      <c r="D30" s="481">
        <v>16319.6</v>
      </c>
      <c r="E30" s="477">
        <f t="shared" si="0"/>
        <v>583000</v>
      </c>
      <c r="G30" s="12"/>
      <c r="H30" s="664"/>
    </row>
    <row r="31" spans="1:8" x14ac:dyDescent="0.25">
      <c r="A31" s="478">
        <v>51000</v>
      </c>
      <c r="B31" s="479" t="s">
        <v>23</v>
      </c>
      <c r="C31" s="482">
        <v>0</v>
      </c>
      <c r="D31" s="483">
        <v>0</v>
      </c>
      <c r="E31" s="484">
        <f t="shared" si="0"/>
        <v>0</v>
      </c>
      <c r="G31" s="12"/>
      <c r="H31" s="664"/>
    </row>
    <row r="32" spans="1:8" x14ac:dyDescent="0.25">
      <c r="A32" s="478">
        <v>52000</v>
      </c>
      <c r="B32" s="479" t="s">
        <v>24</v>
      </c>
      <c r="C32" s="482">
        <v>0</v>
      </c>
      <c r="D32" s="483">
        <v>0</v>
      </c>
      <c r="E32" s="484">
        <f t="shared" si="0"/>
        <v>0</v>
      </c>
      <c r="G32" s="12"/>
      <c r="H32" s="664"/>
    </row>
    <row r="33" spans="1:8" x14ac:dyDescent="0.25">
      <c r="A33" s="478">
        <v>53000</v>
      </c>
      <c r="B33" s="479" t="s">
        <v>25</v>
      </c>
      <c r="C33" s="482">
        <v>0</v>
      </c>
      <c r="D33" s="483">
        <v>0</v>
      </c>
      <c r="E33" s="484">
        <f t="shared" si="0"/>
        <v>0</v>
      </c>
      <c r="G33" s="12"/>
      <c r="H33" s="664"/>
    </row>
    <row r="34" spans="1:8" x14ac:dyDescent="0.25">
      <c r="A34" s="478">
        <v>54000</v>
      </c>
      <c r="B34" s="479" t="s">
        <v>347</v>
      </c>
      <c r="C34" s="482">
        <v>95</v>
      </c>
      <c r="D34" s="483">
        <v>1458.2</v>
      </c>
      <c r="E34" s="477">
        <f t="shared" si="0"/>
        <v>52000</v>
      </c>
      <c r="G34" s="12"/>
      <c r="H34" s="664"/>
    </row>
    <row r="35" spans="1:8" x14ac:dyDescent="0.25">
      <c r="A35" s="478">
        <v>55000</v>
      </c>
      <c r="B35" s="479" t="s">
        <v>26</v>
      </c>
      <c r="C35" s="480">
        <v>79</v>
      </c>
      <c r="D35" s="481">
        <v>521.70000000000005</v>
      </c>
      <c r="E35" s="477">
        <f t="shared" si="0"/>
        <v>19000</v>
      </c>
      <c r="G35" s="12"/>
      <c r="H35" s="664"/>
    </row>
    <row r="36" spans="1:8" ht="15.75" thickBot="1" x14ac:dyDescent="0.3">
      <c r="A36" s="485">
        <v>56000</v>
      </c>
      <c r="B36" s="486" t="s">
        <v>27</v>
      </c>
      <c r="C36" s="487">
        <v>0</v>
      </c>
      <c r="D36" s="488">
        <v>0</v>
      </c>
      <c r="E36" s="484">
        <f t="shared" si="0"/>
        <v>0</v>
      </c>
      <c r="G36" s="12"/>
      <c r="H36" s="664"/>
    </row>
    <row r="37" spans="1:8" ht="15.75" thickBot="1" x14ac:dyDescent="0.3">
      <c r="A37" s="1164" t="s">
        <v>28</v>
      </c>
      <c r="B37" s="1165"/>
      <c r="C37" s="489">
        <f>SUM(C11:C36)</f>
        <v>33691</v>
      </c>
      <c r="D37" s="490">
        <f t="shared" ref="D37:E37" si="1">SUM(D11:D36)</f>
        <v>419807.07000000007</v>
      </c>
      <c r="E37" s="491">
        <f t="shared" si="1"/>
        <v>15000000</v>
      </c>
    </row>
    <row r="39" spans="1:8" x14ac:dyDescent="0.25">
      <c r="A39" s="710" t="s">
        <v>280</v>
      </c>
    </row>
  </sheetData>
  <mergeCells count="7">
    <mergeCell ref="A1:E1"/>
    <mergeCell ref="A37:B37"/>
    <mergeCell ref="A3:E3"/>
    <mergeCell ref="A9:A10"/>
    <mergeCell ref="B9:B10"/>
    <mergeCell ref="C9:D9"/>
    <mergeCell ref="E9:E10"/>
  </mergeCells>
  <hyperlinks>
    <hyperlink ref="A39" location="'0 Seznam'!A1" display="Seznam" xr:uid="{3C57CCDB-FCED-462A-9703-48B3F5E75C4C}"/>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J41"/>
  <sheetViews>
    <sheetView zoomScale="85" zoomScaleNormal="85" workbookViewId="0">
      <selection activeCell="A39" sqref="A39"/>
    </sheetView>
  </sheetViews>
  <sheetFormatPr defaultRowHeight="15" x14ac:dyDescent="0.25"/>
  <cols>
    <col min="1" max="1" width="10.85546875" style="43" customWidth="1"/>
    <col min="2" max="2" width="58.5703125" style="43" customWidth="1"/>
    <col min="3" max="5" width="15.7109375" style="43" customWidth="1"/>
    <col min="6" max="6" width="9.140625" style="43"/>
    <col min="7" max="7" width="18.28515625" style="43" customWidth="1"/>
    <col min="8" max="16384" width="9.140625" style="43"/>
  </cols>
  <sheetData>
    <row r="1" spans="1:10" ht="27.75" customHeight="1" x14ac:dyDescent="0.25">
      <c r="A1" s="1161" t="s">
        <v>154</v>
      </c>
      <c r="B1" s="1161"/>
      <c r="C1" s="1161"/>
      <c r="D1" s="1161"/>
      <c r="E1" s="1161"/>
    </row>
    <row r="2" spans="1:10" ht="15.75" x14ac:dyDescent="0.25">
      <c r="A2" s="460"/>
      <c r="B2" s="460"/>
      <c r="C2" s="460"/>
      <c r="D2" s="460"/>
      <c r="E2" s="460"/>
    </row>
    <row r="3" spans="1:10" ht="48" customHeight="1" x14ac:dyDescent="0.25">
      <c r="A3" s="1166" t="s">
        <v>304</v>
      </c>
      <c r="B3" s="1166"/>
      <c r="C3" s="1166"/>
      <c r="D3" s="1166"/>
      <c r="E3" s="1166"/>
    </row>
    <row r="4" spans="1:10" x14ac:dyDescent="0.25">
      <c r="A4" s="492"/>
      <c r="B4" s="492"/>
      <c r="C4" s="492"/>
      <c r="D4" s="492"/>
      <c r="E4" s="492"/>
    </row>
    <row r="5" spans="1:10" x14ac:dyDescent="0.25">
      <c r="A5" s="493" t="s">
        <v>155</v>
      </c>
      <c r="B5" s="494"/>
      <c r="C5" s="494"/>
      <c r="D5" s="495"/>
      <c r="E5" s="496">
        <f>'1 Bilance'!O43</f>
        <v>100000000</v>
      </c>
    </row>
    <row r="6" spans="1:10" x14ac:dyDescent="0.25">
      <c r="A6" s="493" t="s">
        <v>156</v>
      </c>
      <c r="B6" s="494"/>
      <c r="C6" s="494"/>
      <c r="D6" s="495"/>
      <c r="E6" s="497">
        <f>E5/D37</f>
        <v>0.76760462834886711</v>
      </c>
    </row>
    <row r="7" spans="1:10" ht="27.75" x14ac:dyDescent="0.25">
      <c r="A7" s="498"/>
      <c r="B7" s="499"/>
      <c r="C7" s="498"/>
      <c r="D7" s="500"/>
      <c r="E7" s="501"/>
    </row>
    <row r="8" spans="1:10" ht="15.75" thickBot="1" x14ac:dyDescent="0.3">
      <c r="A8" s="502"/>
      <c r="B8" s="501"/>
      <c r="C8" s="501"/>
      <c r="D8" s="501"/>
      <c r="E8" s="503"/>
    </row>
    <row r="9" spans="1:10" ht="15" customHeight="1" x14ac:dyDescent="0.25">
      <c r="A9" s="1175" t="s">
        <v>2</v>
      </c>
      <c r="B9" s="1177" t="s">
        <v>3</v>
      </c>
      <c r="C9" s="1179" t="s">
        <v>286</v>
      </c>
      <c r="D9" s="1180"/>
      <c r="E9" s="1181" t="s">
        <v>306</v>
      </c>
    </row>
    <row r="10" spans="1:10" ht="45.75" thickBot="1" x14ac:dyDescent="0.3">
      <c r="A10" s="1176"/>
      <c r="B10" s="1178"/>
      <c r="C10" s="665" t="s">
        <v>274</v>
      </c>
      <c r="D10" s="666" t="s">
        <v>157</v>
      </c>
      <c r="E10" s="1182"/>
    </row>
    <row r="11" spans="1:10" x14ac:dyDescent="0.25">
      <c r="A11" s="667">
        <v>11000</v>
      </c>
      <c r="B11" s="668" t="s">
        <v>4</v>
      </c>
      <c r="C11" s="676">
        <v>830</v>
      </c>
      <c r="D11" s="871">
        <v>29601000</v>
      </c>
      <c r="E11" s="690">
        <f>ROUND(D11/$D$37*$E$5,-3)</f>
        <v>22722000</v>
      </c>
      <c r="G11" s="887"/>
      <c r="J11" s="12"/>
    </row>
    <row r="12" spans="1:10" x14ac:dyDescent="0.25">
      <c r="A12" s="669">
        <v>12000</v>
      </c>
      <c r="B12" s="670" t="s">
        <v>5</v>
      </c>
      <c r="C12" s="677">
        <v>109</v>
      </c>
      <c r="D12" s="872">
        <v>4053500</v>
      </c>
      <c r="E12" s="690">
        <f>ROUND(D12/$D$37*$E$5,-3)</f>
        <v>3111000</v>
      </c>
      <c r="G12" s="887"/>
    </row>
    <row r="13" spans="1:10" x14ac:dyDescent="0.25">
      <c r="A13" s="669">
        <v>13000</v>
      </c>
      <c r="B13" s="670" t="s">
        <v>6</v>
      </c>
      <c r="C13" s="678">
        <v>89</v>
      </c>
      <c r="D13" s="872">
        <v>3296000</v>
      </c>
      <c r="E13" s="690">
        <f t="shared" ref="E13:E36" si="0">ROUND(D13/$D$37*$E$5,-3)</f>
        <v>2530000</v>
      </c>
      <c r="G13" s="887"/>
    </row>
    <row r="14" spans="1:10" x14ac:dyDescent="0.25">
      <c r="A14" s="669">
        <v>14000</v>
      </c>
      <c r="B14" s="670" t="s">
        <v>7</v>
      </c>
      <c r="C14" s="686">
        <v>508</v>
      </c>
      <c r="D14" s="872">
        <v>17821900</v>
      </c>
      <c r="E14" s="690">
        <f t="shared" si="0"/>
        <v>13680000</v>
      </c>
      <c r="G14" s="887"/>
    </row>
    <row r="15" spans="1:10" x14ac:dyDescent="0.25">
      <c r="A15" s="669">
        <v>15000</v>
      </c>
      <c r="B15" s="670" t="s">
        <v>8</v>
      </c>
      <c r="C15" s="679">
        <v>323</v>
      </c>
      <c r="D15" s="872">
        <v>13692750</v>
      </c>
      <c r="E15" s="690">
        <f t="shared" si="0"/>
        <v>10511000</v>
      </c>
      <c r="G15" s="887"/>
    </row>
    <row r="16" spans="1:10" x14ac:dyDescent="0.25">
      <c r="A16" s="669">
        <v>16000</v>
      </c>
      <c r="B16" s="670" t="s">
        <v>335</v>
      </c>
      <c r="C16" s="679">
        <v>0</v>
      </c>
      <c r="D16" s="873">
        <v>0</v>
      </c>
      <c r="E16" s="691">
        <f t="shared" si="0"/>
        <v>0</v>
      </c>
      <c r="G16" s="887"/>
    </row>
    <row r="17" spans="1:7" x14ac:dyDescent="0.25">
      <c r="A17" s="669">
        <v>17000</v>
      </c>
      <c r="B17" s="670" t="s">
        <v>9</v>
      </c>
      <c r="C17" s="680">
        <v>93</v>
      </c>
      <c r="D17" s="872">
        <v>4865300</v>
      </c>
      <c r="E17" s="690">
        <f t="shared" si="0"/>
        <v>3735000</v>
      </c>
      <c r="G17" s="887"/>
    </row>
    <row r="18" spans="1:7" x14ac:dyDescent="0.25">
      <c r="A18" s="669">
        <v>18000</v>
      </c>
      <c r="B18" s="670" t="s">
        <v>10</v>
      </c>
      <c r="C18" s="680">
        <v>100</v>
      </c>
      <c r="D18" s="872">
        <v>3306400</v>
      </c>
      <c r="E18" s="690">
        <f t="shared" si="0"/>
        <v>2538000</v>
      </c>
      <c r="G18" s="887"/>
    </row>
    <row r="19" spans="1:7" x14ac:dyDescent="0.25">
      <c r="A19" s="669">
        <v>19000</v>
      </c>
      <c r="B19" s="670" t="s">
        <v>11</v>
      </c>
      <c r="C19" s="681">
        <v>68</v>
      </c>
      <c r="D19" s="872">
        <v>3093100</v>
      </c>
      <c r="E19" s="690">
        <f t="shared" si="0"/>
        <v>2374000</v>
      </c>
      <c r="G19" s="887"/>
    </row>
    <row r="20" spans="1:7" x14ac:dyDescent="0.25">
      <c r="A20" s="669">
        <v>21000</v>
      </c>
      <c r="B20" s="670" t="s">
        <v>12</v>
      </c>
      <c r="C20" s="678">
        <v>114</v>
      </c>
      <c r="D20" s="872">
        <v>3574000</v>
      </c>
      <c r="E20" s="690">
        <f t="shared" si="0"/>
        <v>2743000</v>
      </c>
      <c r="G20" s="887"/>
    </row>
    <row r="21" spans="1:7" x14ac:dyDescent="0.25">
      <c r="A21" s="669">
        <v>22000</v>
      </c>
      <c r="B21" s="670" t="s">
        <v>13</v>
      </c>
      <c r="C21" s="678">
        <v>73</v>
      </c>
      <c r="D21" s="872">
        <v>1773000</v>
      </c>
      <c r="E21" s="690">
        <f t="shared" si="0"/>
        <v>1361000</v>
      </c>
      <c r="G21" s="887"/>
    </row>
    <row r="22" spans="1:7" x14ac:dyDescent="0.25">
      <c r="A22" s="669">
        <v>23000</v>
      </c>
      <c r="B22" s="670" t="s">
        <v>14</v>
      </c>
      <c r="C22" s="681">
        <v>183</v>
      </c>
      <c r="D22" s="872">
        <v>5179750</v>
      </c>
      <c r="E22" s="690">
        <f t="shared" si="0"/>
        <v>3976000</v>
      </c>
      <c r="G22" s="887"/>
    </row>
    <row r="23" spans="1:7" x14ac:dyDescent="0.25">
      <c r="A23" s="669">
        <v>24000</v>
      </c>
      <c r="B23" s="670" t="s">
        <v>15</v>
      </c>
      <c r="C23" s="680">
        <v>75</v>
      </c>
      <c r="D23" s="872">
        <v>3348200</v>
      </c>
      <c r="E23" s="690">
        <f t="shared" si="0"/>
        <v>2570000</v>
      </c>
      <c r="G23" s="887"/>
    </row>
    <row r="24" spans="1:7" x14ac:dyDescent="0.25">
      <c r="A24" s="669">
        <v>25000</v>
      </c>
      <c r="B24" s="670" t="s">
        <v>16</v>
      </c>
      <c r="C24" s="682">
        <v>132</v>
      </c>
      <c r="D24" s="872">
        <v>5025700</v>
      </c>
      <c r="E24" s="690">
        <f t="shared" si="0"/>
        <v>3858000</v>
      </c>
      <c r="G24" s="887"/>
    </row>
    <row r="25" spans="1:7" x14ac:dyDescent="0.25">
      <c r="A25" s="669">
        <v>26000</v>
      </c>
      <c r="B25" s="670" t="s">
        <v>17</v>
      </c>
      <c r="C25" s="678">
        <v>283</v>
      </c>
      <c r="D25" s="872">
        <v>6403000</v>
      </c>
      <c r="E25" s="690">
        <f t="shared" si="0"/>
        <v>4915000</v>
      </c>
      <c r="G25" s="887"/>
    </row>
    <row r="26" spans="1:7" x14ac:dyDescent="0.25">
      <c r="A26" s="669">
        <v>27000</v>
      </c>
      <c r="B26" s="670" t="s">
        <v>18</v>
      </c>
      <c r="C26" s="683">
        <v>73</v>
      </c>
      <c r="D26" s="874">
        <v>2092000</v>
      </c>
      <c r="E26" s="690">
        <f t="shared" si="0"/>
        <v>1606000</v>
      </c>
      <c r="G26" s="887"/>
    </row>
    <row r="27" spans="1:7" x14ac:dyDescent="0.25">
      <c r="A27" s="669">
        <v>28000</v>
      </c>
      <c r="B27" s="670" t="s">
        <v>19</v>
      </c>
      <c r="C27" s="684">
        <v>127</v>
      </c>
      <c r="D27" s="872">
        <v>5039200</v>
      </c>
      <c r="E27" s="690">
        <f t="shared" si="0"/>
        <v>3868000</v>
      </c>
      <c r="G27" s="887"/>
    </row>
    <row r="28" spans="1:7" x14ac:dyDescent="0.25">
      <c r="A28" s="669">
        <v>31000</v>
      </c>
      <c r="B28" s="670" t="s">
        <v>20</v>
      </c>
      <c r="C28" s="684">
        <v>114</v>
      </c>
      <c r="D28" s="875">
        <v>2540000</v>
      </c>
      <c r="E28" s="690">
        <f t="shared" si="0"/>
        <v>1950000</v>
      </c>
      <c r="G28" s="887"/>
    </row>
    <row r="29" spans="1:7" x14ac:dyDescent="0.25">
      <c r="A29" s="669">
        <v>41000</v>
      </c>
      <c r="B29" s="670" t="s">
        <v>21</v>
      </c>
      <c r="C29" s="683">
        <v>354</v>
      </c>
      <c r="D29" s="872">
        <v>11840000</v>
      </c>
      <c r="E29" s="690">
        <f t="shared" si="0"/>
        <v>9088000</v>
      </c>
      <c r="G29" s="887"/>
    </row>
    <row r="30" spans="1:7" x14ac:dyDescent="0.25">
      <c r="A30" s="669">
        <v>43000</v>
      </c>
      <c r="B30" s="670" t="s">
        <v>22</v>
      </c>
      <c r="C30" s="683">
        <v>79</v>
      </c>
      <c r="D30" s="872">
        <v>2107000</v>
      </c>
      <c r="E30" s="690">
        <f t="shared" si="0"/>
        <v>1617000</v>
      </c>
      <c r="G30" s="887"/>
    </row>
    <row r="31" spans="1:7" x14ac:dyDescent="0.25">
      <c r="A31" s="669">
        <v>51000</v>
      </c>
      <c r="B31" s="670" t="s">
        <v>23</v>
      </c>
      <c r="C31" s="687">
        <v>0</v>
      </c>
      <c r="D31" s="876">
        <v>0</v>
      </c>
      <c r="E31" s="691">
        <f t="shared" si="0"/>
        <v>0</v>
      </c>
      <c r="G31" s="887"/>
    </row>
    <row r="32" spans="1:7" x14ac:dyDescent="0.25">
      <c r="A32" s="669">
        <v>52000</v>
      </c>
      <c r="B32" s="670" t="s">
        <v>24</v>
      </c>
      <c r="C32" s="687">
        <v>0</v>
      </c>
      <c r="D32" s="877">
        <v>0</v>
      </c>
      <c r="E32" s="691">
        <f t="shared" si="0"/>
        <v>0</v>
      </c>
      <c r="G32" s="887"/>
    </row>
    <row r="33" spans="1:7" x14ac:dyDescent="0.25">
      <c r="A33" s="669">
        <v>53000</v>
      </c>
      <c r="B33" s="670" t="s">
        <v>25</v>
      </c>
      <c r="C33" s="688">
        <v>0</v>
      </c>
      <c r="D33" s="877">
        <v>0</v>
      </c>
      <c r="E33" s="691">
        <f t="shared" si="0"/>
        <v>0</v>
      </c>
      <c r="G33" s="887"/>
    </row>
    <row r="34" spans="1:7" x14ac:dyDescent="0.25">
      <c r="A34" s="669">
        <v>54000</v>
      </c>
      <c r="B34" s="670" t="s">
        <v>347</v>
      </c>
      <c r="C34" s="683">
        <v>2</v>
      </c>
      <c r="D34" s="874">
        <v>165000</v>
      </c>
      <c r="E34" s="690">
        <f t="shared" si="0"/>
        <v>127000</v>
      </c>
      <c r="G34" s="887"/>
    </row>
    <row r="35" spans="1:7" x14ac:dyDescent="0.25">
      <c r="A35" s="669">
        <v>55000</v>
      </c>
      <c r="B35" s="670" t="s">
        <v>26</v>
      </c>
      <c r="C35" s="683">
        <v>20</v>
      </c>
      <c r="D35" s="872">
        <v>762100</v>
      </c>
      <c r="E35" s="690">
        <f t="shared" si="0"/>
        <v>585000</v>
      </c>
      <c r="G35" s="887"/>
    </row>
    <row r="36" spans="1:7" ht="15.75" thickBot="1" x14ac:dyDescent="0.3">
      <c r="A36" s="671">
        <v>56000</v>
      </c>
      <c r="B36" s="672" t="s">
        <v>27</v>
      </c>
      <c r="C36" s="685">
        <v>20</v>
      </c>
      <c r="D36" s="872">
        <v>696500</v>
      </c>
      <c r="E36" s="690">
        <f t="shared" si="0"/>
        <v>535000</v>
      </c>
      <c r="G36" s="887"/>
    </row>
    <row r="37" spans="1:7" ht="15.75" thickBot="1" x14ac:dyDescent="0.3">
      <c r="A37" s="673"/>
      <c r="B37" s="674" t="s">
        <v>28</v>
      </c>
      <c r="C37" s="675">
        <f>SUM(C11:C36)</f>
        <v>3769</v>
      </c>
      <c r="D37" s="689">
        <f t="shared" ref="D37:E37" si="1">SUM(D11:D36)</f>
        <v>130275400</v>
      </c>
      <c r="E37" s="692">
        <f t="shared" si="1"/>
        <v>100000000</v>
      </c>
    </row>
    <row r="38" spans="1:7" x14ac:dyDescent="0.25">
      <c r="A38" s="664"/>
      <c r="B38" s="693"/>
      <c r="C38" s="693"/>
      <c r="D38" s="664"/>
      <c r="E38" s="664"/>
    </row>
    <row r="39" spans="1:7" x14ac:dyDescent="0.25">
      <c r="A39" s="710" t="s">
        <v>280</v>
      </c>
      <c r="B39" s="694" t="s">
        <v>305</v>
      </c>
      <c r="C39" s="695">
        <v>0.74118818390940211</v>
      </c>
      <c r="D39" s="664"/>
      <c r="E39" s="664"/>
    </row>
    <row r="40" spans="1:7" x14ac:dyDescent="0.25">
      <c r="A40" s="505"/>
      <c r="B40" s="505"/>
      <c r="C40" s="505"/>
      <c r="D40" s="505"/>
      <c r="E40" s="505"/>
    </row>
    <row r="41" spans="1:7" x14ac:dyDescent="0.25">
      <c r="A41" s="41"/>
      <c r="B41" s="505"/>
      <c r="C41" s="506"/>
      <c r="D41" s="505"/>
      <c r="E41" s="505"/>
    </row>
  </sheetData>
  <mergeCells count="6">
    <mergeCell ref="A1:E1"/>
    <mergeCell ref="A3:E3"/>
    <mergeCell ref="A9:A10"/>
    <mergeCell ref="B9:B10"/>
    <mergeCell ref="C9:D9"/>
    <mergeCell ref="E9:E10"/>
  </mergeCells>
  <hyperlinks>
    <hyperlink ref="A39" location="'0 Seznam'!A1" display="Seznam" xr:uid="{0DA9AECE-2B88-42F9-9A20-08E8036B6FD5}"/>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T72"/>
  <sheetViews>
    <sheetView showGridLines="0" zoomScale="70" zoomScaleNormal="70" workbookViewId="0">
      <selection activeCell="C2" sqref="C2"/>
    </sheetView>
  </sheetViews>
  <sheetFormatPr defaultRowHeight="15" x14ac:dyDescent="0.25"/>
  <cols>
    <col min="1" max="1" width="5.7109375" style="534" customWidth="1"/>
    <col min="2" max="2" width="4.85546875" style="534" bestFit="1" customWidth="1"/>
    <col min="3" max="3" width="7.28515625" style="534" customWidth="1"/>
    <col min="4" max="4" width="17.140625" style="534" customWidth="1"/>
    <col min="5" max="9" width="23.28515625" style="534" customWidth="1"/>
    <col min="10" max="10" width="21" style="534" customWidth="1"/>
    <col min="11" max="11" width="18.7109375" style="534" customWidth="1"/>
    <col min="12" max="12" width="22.7109375" style="534" customWidth="1"/>
    <col min="13" max="14" width="19.42578125" style="534" customWidth="1"/>
    <col min="15" max="15" width="22.28515625" style="534" customWidth="1"/>
    <col min="16" max="17" width="19.42578125" style="534" customWidth="1"/>
    <col min="18" max="18" width="14" style="534" bestFit="1" customWidth="1"/>
    <col min="19" max="19" width="18.140625" style="534" customWidth="1"/>
    <col min="20" max="20" width="12" style="534" bestFit="1" customWidth="1"/>
    <col min="21" max="16384" width="9.140625" style="534"/>
  </cols>
  <sheetData>
    <row r="1" spans="1:20" ht="27.75" customHeight="1" x14ac:dyDescent="0.25">
      <c r="A1" s="1007" t="s">
        <v>290</v>
      </c>
      <c r="B1" s="1007"/>
      <c r="C1" s="1007"/>
      <c r="D1" s="1007"/>
      <c r="E1" s="1007"/>
      <c r="F1" s="1007"/>
      <c r="G1" s="1007"/>
      <c r="H1" s="1007"/>
      <c r="I1" s="1007"/>
      <c r="J1" s="1007"/>
      <c r="K1" s="1007"/>
      <c r="L1" s="1007"/>
      <c r="M1" s="1007"/>
      <c r="N1" s="1007"/>
      <c r="O1" s="1007"/>
      <c r="P1" s="1007"/>
      <c r="Q1" s="1007"/>
    </row>
    <row r="2" spans="1:20" x14ac:dyDescent="0.25">
      <c r="A2" s="44" t="s">
        <v>47</v>
      </c>
      <c r="B2" s="45"/>
      <c r="C2" s="45"/>
      <c r="D2" s="45"/>
      <c r="E2" s="45"/>
      <c r="F2" s="45"/>
      <c r="G2" s="45"/>
      <c r="H2" s="45"/>
      <c r="I2" s="45"/>
      <c r="J2" s="45"/>
      <c r="K2" s="45"/>
      <c r="L2" s="45"/>
      <c r="M2" s="45"/>
      <c r="N2" s="45"/>
      <c r="O2" s="46"/>
      <c r="P2" s="46"/>
      <c r="Q2" s="46"/>
    </row>
    <row r="3" spans="1:20" ht="15.75" thickBot="1" x14ac:dyDescent="0.3">
      <c r="A3" s="46"/>
      <c r="B3" s="46"/>
      <c r="C3" s="45"/>
      <c r="D3" s="45"/>
      <c r="E3" s="45"/>
      <c r="F3" s="45"/>
      <c r="G3" s="45"/>
      <c r="H3" s="45"/>
      <c r="I3" s="45"/>
      <c r="J3" s="47"/>
      <c r="K3" s="47"/>
      <c r="L3" s="48"/>
      <c r="M3" s="47"/>
      <c r="N3" s="49"/>
      <c r="O3" s="46"/>
      <c r="P3" s="50" t="s">
        <v>0</v>
      </c>
      <c r="Q3" s="51"/>
    </row>
    <row r="4" spans="1:20" ht="16.5" thickBot="1" x14ac:dyDescent="0.3">
      <c r="A4" s="1011" t="s">
        <v>48</v>
      </c>
      <c r="B4" s="1012"/>
      <c r="C4" s="1012"/>
      <c r="D4" s="1012"/>
      <c r="E4" s="52">
        <v>2019</v>
      </c>
      <c r="F4" s="53">
        <v>2020</v>
      </c>
      <c r="G4" s="54">
        <v>2021</v>
      </c>
      <c r="H4" s="591">
        <v>2022</v>
      </c>
      <c r="I4" s="588"/>
      <c r="J4" s="1013" t="s">
        <v>48</v>
      </c>
      <c r="K4" s="1014"/>
      <c r="L4" s="52">
        <v>2019</v>
      </c>
      <c r="M4" s="53">
        <v>2020</v>
      </c>
      <c r="N4" s="54">
        <v>2021</v>
      </c>
      <c r="O4" s="55">
        <v>2022</v>
      </c>
      <c r="P4" s="56" t="s">
        <v>49</v>
      </c>
      <c r="Q4" s="51"/>
    </row>
    <row r="5" spans="1:20" x14ac:dyDescent="0.25">
      <c r="A5" s="1015" t="s">
        <v>50</v>
      </c>
      <c r="B5" s="1016"/>
      <c r="C5" s="1016"/>
      <c r="D5" s="1017"/>
      <c r="E5" s="57">
        <v>47126.784863493653</v>
      </c>
      <c r="F5" s="58">
        <v>49174.493920447378</v>
      </c>
      <c r="G5" s="59">
        <v>47309.413342952932</v>
      </c>
      <c r="H5" s="592">
        <v>48342.069411484525</v>
      </c>
      <c r="I5" s="589"/>
      <c r="J5" s="1018" t="s">
        <v>52</v>
      </c>
      <c r="K5" s="1019"/>
      <c r="L5" s="60">
        <v>135000</v>
      </c>
      <c r="M5" s="60">
        <v>135000</v>
      </c>
      <c r="N5" s="60">
        <v>135000</v>
      </c>
      <c r="O5" s="61">
        <v>135000</v>
      </c>
      <c r="P5" s="62">
        <f>O5/N5-1</f>
        <v>0</v>
      </c>
      <c r="Q5" s="51"/>
    </row>
    <row r="6" spans="1:20" x14ac:dyDescent="0.25">
      <c r="A6" s="1008" t="s">
        <v>53</v>
      </c>
      <c r="B6" s="1009"/>
      <c r="C6" s="1009"/>
      <c r="D6" s="1010"/>
      <c r="E6" s="63" t="s">
        <v>51</v>
      </c>
      <c r="F6" s="63" t="s">
        <v>51</v>
      </c>
      <c r="G6" s="64" t="s">
        <v>51</v>
      </c>
      <c r="H6" s="593" t="s">
        <v>51</v>
      </c>
      <c r="I6" s="589"/>
      <c r="J6" s="985" t="s">
        <v>54</v>
      </c>
      <c r="K6" s="986"/>
      <c r="L6" s="60">
        <v>5400.0266777715606</v>
      </c>
      <c r="M6" s="60">
        <v>5400</v>
      </c>
      <c r="N6" s="60">
        <v>5400</v>
      </c>
      <c r="O6" s="66">
        <v>5400</v>
      </c>
      <c r="P6" s="65">
        <f>O6/N6-1</f>
        <v>0</v>
      </c>
      <c r="Q6" s="51"/>
    </row>
    <row r="7" spans="1:20" ht="15.75" thickBot="1" x14ac:dyDescent="0.3">
      <c r="A7" s="983" t="s">
        <v>55</v>
      </c>
      <c r="B7" s="984"/>
      <c r="C7" s="984"/>
      <c r="D7" s="984"/>
      <c r="E7" s="67" t="s">
        <v>51</v>
      </c>
      <c r="F7" s="68" t="s">
        <v>51</v>
      </c>
      <c r="G7" s="69" t="s">
        <v>51</v>
      </c>
      <c r="H7" s="594" t="s">
        <v>51</v>
      </c>
      <c r="I7" s="590"/>
      <c r="J7" s="985" t="s">
        <v>158</v>
      </c>
      <c r="K7" s="986"/>
      <c r="L7" s="60">
        <v>3340</v>
      </c>
      <c r="M7" s="60">
        <v>3650</v>
      </c>
      <c r="N7" s="60">
        <v>3800</v>
      </c>
      <c r="O7" s="66">
        <v>4050</v>
      </c>
      <c r="P7" s="65">
        <f>O7/N7-1</f>
        <v>6.578947368421062E-2</v>
      </c>
      <c r="Q7" s="70"/>
    </row>
    <row r="8" spans="1:20" ht="15.75" thickBot="1" x14ac:dyDescent="0.3">
      <c r="A8" s="987"/>
      <c r="B8" s="987"/>
      <c r="C8" s="987"/>
      <c r="D8" s="987"/>
      <c r="E8" s="987"/>
      <c r="F8" s="987"/>
      <c r="G8" s="987"/>
      <c r="H8" s="987"/>
      <c r="I8" s="531"/>
      <c r="J8" s="988" t="s">
        <v>56</v>
      </c>
      <c r="K8" s="989"/>
      <c r="L8" s="71">
        <v>17.95</v>
      </c>
      <c r="M8" s="71">
        <v>17.95</v>
      </c>
      <c r="N8" s="71">
        <v>17.95</v>
      </c>
      <c r="O8" s="72">
        <v>17.95</v>
      </c>
      <c r="P8" s="73">
        <f>O8/N8-1</f>
        <v>0</v>
      </c>
    </row>
    <row r="9" spans="1:20" ht="15.75" thickBot="1" x14ac:dyDescent="0.3">
      <c r="A9" s="990"/>
      <c r="B9" s="990"/>
      <c r="C9" s="990"/>
      <c r="D9" s="990"/>
      <c r="E9" s="990"/>
      <c r="F9" s="990"/>
      <c r="G9" s="990"/>
      <c r="H9" s="990"/>
      <c r="I9" s="990"/>
      <c r="J9" s="74"/>
      <c r="K9" s="74"/>
      <c r="L9" s="74"/>
      <c r="M9" s="74"/>
      <c r="N9" s="74"/>
      <c r="O9" s="46"/>
      <c r="P9" s="46"/>
      <c r="Q9" s="50" t="s">
        <v>0</v>
      </c>
    </row>
    <row r="10" spans="1:20" x14ac:dyDescent="0.25">
      <c r="A10" s="991" t="s">
        <v>159</v>
      </c>
      <c r="B10" s="993" t="s">
        <v>160</v>
      </c>
      <c r="C10" s="995" t="s">
        <v>57</v>
      </c>
      <c r="D10" s="996"/>
      <c r="E10" s="996"/>
      <c r="F10" s="996"/>
      <c r="G10" s="997"/>
      <c r="H10" s="1004" t="s">
        <v>62</v>
      </c>
      <c r="I10" s="1004" t="s">
        <v>96</v>
      </c>
      <c r="J10" s="971" t="s">
        <v>58</v>
      </c>
      <c r="K10" s="974" t="s">
        <v>59</v>
      </c>
      <c r="L10" s="977" t="s">
        <v>208</v>
      </c>
      <c r="M10" s="980" t="s">
        <v>60</v>
      </c>
      <c r="N10" s="965" t="s">
        <v>61</v>
      </c>
      <c r="O10" s="968" t="s">
        <v>320</v>
      </c>
      <c r="P10" s="953" t="s">
        <v>63</v>
      </c>
      <c r="Q10" s="956" t="s">
        <v>64</v>
      </c>
    </row>
    <row r="11" spans="1:20" x14ac:dyDescent="0.25">
      <c r="A11" s="992"/>
      <c r="B11" s="994"/>
      <c r="C11" s="998"/>
      <c r="D11" s="999"/>
      <c r="E11" s="999"/>
      <c r="F11" s="999"/>
      <c r="G11" s="1000"/>
      <c r="H11" s="1005"/>
      <c r="I11" s="1005"/>
      <c r="J11" s="972"/>
      <c r="K11" s="975"/>
      <c r="L11" s="978"/>
      <c r="M11" s="981"/>
      <c r="N11" s="966"/>
      <c r="O11" s="969"/>
      <c r="P11" s="954"/>
      <c r="Q11" s="957"/>
    </row>
    <row r="12" spans="1:20" ht="15.75" thickBot="1" x14ac:dyDescent="0.3">
      <c r="A12" s="992"/>
      <c r="B12" s="994"/>
      <c r="C12" s="1001"/>
      <c r="D12" s="1002"/>
      <c r="E12" s="1002"/>
      <c r="F12" s="1002"/>
      <c r="G12" s="1003"/>
      <c r="H12" s="1006"/>
      <c r="I12" s="1006"/>
      <c r="J12" s="973"/>
      <c r="K12" s="976"/>
      <c r="L12" s="979"/>
      <c r="M12" s="982"/>
      <c r="N12" s="967"/>
      <c r="O12" s="970"/>
      <c r="P12" s="955"/>
      <c r="Q12" s="958"/>
    </row>
    <row r="13" spans="1:20" ht="15.75" thickBot="1" x14ac:dyDescent="0.3">
      <c r="A13" s="75"/>
      <c r="B13" s="76"/>
      <c r="C13" s="959">
        <v>1</v>
      </c>
      <c r="D13" s="960"/>
      <c r="E13" s="960"/>
      <c r="F13" s="960"/>
      <c r="G13" s="960"/>
      <c r="H13" s="77">
        <v>2</v>
      </c>
      <c r="I13" s="77">
        <v>3</v>
      </c>
      <c r="J13" s="78">
        <v>4</v>
      </c>
      <c r="K13" s="79">
        <v>5</v>
      </c>
      <c r="L13" s="80">
        <v>6</v>
      </c>
      <c r="M13" s="78">
        <v>7</v>
      </c>
      <c r="N13" s="81">
        <v>8</v>
      </c>
      <c r="O13" s="82">
        <v>9</v>
      </c>
      <c r="P13" s="78">
        <v>10</v>
      </c>
      <c r="Q13" s="81">
        <v>11</v>
      </c>
    </row>
    <row r="14" spans="1:20" x14ac:dyDescent="0.25">
      <c r="A14" s="83"/>
      <c r="B14" s="84"/>
      <c r="C14" s="85"/>
      <c r="D14" s="47"/>
      <c r="E14" s="47"/>
      <c r="F14" s="47"/>
      <c r="G14" s="47"/>
      <c r="H14" s="86"/>
      <c r="I14" s="86"/>
      <c r="J14" s="87"/>
      <c r="K14" s="88"/>
      <c r="L14" s="89"/>
      <c r="M14" s="87"/>
      <c r="N14" s="90"/>
      <c r="O14" s="91"/>
      <c r="P14" s="87"/>
      <c r="Q14" s="90"/>
    </row>
    <row r="15" spans="1:20" ht="15.75" thickBot="1" x14ac:dyDescent="0.3">
      <c r="A15" s="83"/>
      <c r="B15" s="84"/>
      <c r="C15" s="92" t="s">
        <v>65</v>
      </c>
      <c r="D15" s="47"/>
      <c r="E15" s="47"/>
      <c r="F15" s="47"/>
      <c r="G15" s="47"/>
      <c r="H15" s="86"/>
      <c r="I15" s="86"/>
      <c r="J15" s="87"/>
      <c r="K15" s="88"/>
      <c r="L15" s="93"/>
      <c r="M15" s="87"/>
      <c r="N15" s="90"/>
      <c r="O15" s="94"/>
      <c r="P15" s="87"/>
      <c r="Q15" s="90"/>
    </row>
    <row r="16" spans="1:20" x14ac:dyDescent="0.25">
      <c r="A16" s="95" t="s">
        <v>66</v>
      </c>
      <c r="B16" s="96"/>
      <c r="C16" s="961" t="s">
        <v>41</v>
      </c>
      <c r="D16" s="962"/>
      <c r="E16" s="962"/>
      <c r="F16" s="962"/>
      <c r="G16" s="962"/>
      <c r="H16" s="97">
        <v>16063835573.712</v>
      </c>
      <c r="I16" s="97">
        <v>16795401074</v>
      </c>
      <c r="J16" s="98">
        <f>I16/$I$55</f>
        <v>0.83373136940667203</v>
      </c>
      <c r="K16" s="99">
        <f>I16/H16-1</f>
        <v>4.5541147189354092E-2</v>
      </c>
      <c r="L16" s="100">
        <v>17395401074</v>
      </c>
      <c r="M16" s="98">
        <f>L16/$L$55</f>
        <v>0.66573903882007446</v>
      </c>
      <c r="N16" s="101">
        <f>L16/I16-1</f>
        <v>3.5724065019728801E-2</v>
      </c>
      <c r="O16" s="102">
        <v>17965561474</v>
      </c>
      <c r="P16" s="98">
        <f>O16/$O$56</f>
        <v>0.65736981187553711</v>
      </c>
      <c r="Q16" s="101">
        <f>O16/L16-1</f>
        <v>3.2776502109640226E-2</v>
      </c>
      <c r="R16" s="12"/>
      <c r="S16" s="530"/>
      <c r="T16" s="530"/>
    </row>
    <row r="17" spans="1:20" x14ac:dyDescent="0.25">
      <c r="A17" s="103" t="s">
        <v>66</v>
      </c>
      <c r="B17" s="104"/>
      <c r="C17" s="963" t="s">
        <v>42</v>
      </c>
      <c r="D17" s="964"/>
      <c r="E17" s="964"/>
      <c r="F17" s="964"/>
      <c r="G17" s="964"/>
      <c r="H17" s="105">
        <v>3325223658.2880001</v>
      </c>
      <c r="I17" s="105">
        <v>3476658158</v>
      </c>
      <c r="J17" s="106">
        <f>I17/$I$55</f>
        <v>0.17258289660705831</v>
      </c>
      <c r="K17" s="107">
        <f>I17/H17-1</f>
        <v>4.5541147084814826E-2</v>
      </c>
      <c r="L17" s="108">
        <v>3476658158</v>
      </c>
      <c r="M17" s="106">
        <f>L17/$L$55</f>
        <v>0.13305511327774577</v>
      </c>
      <c r="N17" s="109">
        <f>L17/I17-1</f>
        <v>0</v>
      </c>
      <c r="O17" s="110">
        <v>3821738358</v>
      </c>
      <c r="P17" s="106">
        <f>O17/$O$56</f>
        <v>0.13983951623620622</v>
      </c>
      <c r="Q17" s="109">
        <f>O17/L17-1</f>
        <v>9.9256292772399668E-2</v>
      </c>
      <c r="R17" s="12"/>
      <c r="S17" s="530"/>
      <c r="T17" s="530"/>
    </row>
    <row r="18" spans="1:20" ht="15.75" thickBot="1" x14ac:dyDescent="0.3">
      <c r="A18" s="111" t="s">
        <v>66</v>
      </c>
      <c r="B18" s="112"/>
      <c r="C18" s="532" t="s">
        <v>1</v>
      </c>
      <c r="D18" s="533"/>
      <c r="E18" s="533"/>
      <c r="F18" s="533"/>
      <c r="G18" s="533"/>
      <c r="H18" s="113">
        <v>615000000</v>
      </c>
      <c r="I18" s="113">
        <v>706800000</v>
      </c>
      <c r="J18" s="114"/>
      <c r="K18" s="115"/>
      <c r="L18" s="116">
        <v>736800000</v>
      </c>
      <c r="M18" s="114"/>
      <c r="N18" s="117"/>
      <c r="O18" s="118">
        <v>836800000</v>
      </c>
      <c r="P18" s="114">
        <f>O18/$O$56</f>
        <v>3.0618973939308423E-2</v>
      </c>
      <c r="Q18" s="117">
        <f>O18/L18-1</f>
        <v>0.1357220412595006</v>
      </c>
      <c r="R18" s="12"/>
      <c r="S18" s="12"/>
    </row>
    <row r="19" spans="1:20" ht="15.75" thickBot="1" x14ac:dyDescent="0.3">
      <c r="A19" s="119"/>
      <c r="B19" s="120"/>
      <c r="C19" s="946" t="s">
        <v>67</v>
      </c>
      <c r="D19" s="947"/>
      <c r="E19" s="947"/>
      <c r="F19" s="947"/>
      <c r="G19" s="947"/>
      <c r="H19" s="121">
        <f>SUM(H16:H18)</f>
        <v>20004059232</v>
      </c>
      <c r="I19" s="121">
        <f>SUM(I16:I18)</f>
        <v>20978859232</v>
      </c>
      <c r="J19" s="122">
        <f>I19/$I$55</f>
        <v>1.0414001403730435</v>
      </c>
      <c r="K19" s="123">
        <f>I19/H19-1</f>
        <v>4.8730109658975396E-2</v>
      </c>
      <c r="L19" s="124">
        <f>SUM(L16:L18)</f>
        <v>21608859232</v>
      </c>
      <c r="M19" s="122">
        <f>L19/$L$56</f>
        <v>0.82699220983250388</v>
      </c>
      <c r="N19" s="125">
        <f>L19/I19-1</f>
        <v>3.0030231531323226E-2</v>
      </c>
      <c r="O19" s="126">
        <f>SUM(O16:O18)</f>
        <v>22624099832</v>
      </c>
      <c r="P19" s="122">
        <f>O19/$O$56</f>
        <v>0.82782830205105173</v>
      </c>
      <c r="Q19" s="125">
        <f>O19/L19-1</f>
        <v>4.698260972964996E-2</v>
      </c>
      <c r="R19" s="12"/>
      <c r="S19" s="12"/>
    </row>
    <row r="20" spans="1:20" x14ac:dyDescent="0.25">
      <c r="A20" s="83"/>
      <c r="B20" s="84"/>
      <c r="C20" s="85"/>
      <c r="D20" s="47"/>
      <c r="E20" s="47"/>
      <c r="F20" s="47"/>
      <c r="G20" s="47"/>
      <c r="H20" s="127"/>
      <c r="I20" s="127"/>
      <c r="J20" s="128"/>
      <c r="K20" s="129"/>
      <c r="L20" s="130"/>
      <c r="M20" s="128"/>
      <c r="N20" s="131"/>
      <c r="O20" s="132"/>
      <c r="P20" s="128"/>
      <c r="Q20" s="131"/>
      <c r="R20" s="12"/>
    </row>
    <row r="21" spans="1:20" ht="15.75" thickBot="1" x14ac:dyDescent="0.3">
      <c r="A21" s="83"/>
      <c r="B21" s="84"/>
      <c r="C21" s="85" t="s">
        <v>68</v>
      </c>
      <c r="D21" s="47"/>
      <c r="E21" s="47"/>
      <c r="F21" s="47"/>
      <c r="G21" s="47"/>
      <c r="H21" s="127"/>
      <c r="I21" s="127"/>
      <c r="J21" s="133"/>
      <c r="K21" s="133"/>
      <c r="L21" s="130"/>
      <c r="M21" s="133"/>
      <c r="N21" s="134"/>
      <c r="O21" s="132"/>
      <c r="P21" s="133"/>
      <c r="Q21" s="134"/>
      <c r="R21" s="12"/>
    </row>
    <row r="22" spans="1:20" x14ac:dyDescent="0.25">
      <c r="A22" s="95" t="s">
        <v>66</v>
      </c>
      <c r="B22" s="96"/>
      <c r="C22" s="940" t="s">
        <v>69</v>
      </c>
      <c r="D22" s="941"/>
      <c r="E22" s="941"/>
      <c r="F22" s="941"/>
      <c r="G22" s="941"/>
      <c r="H22" s="135">
        <v>1421820000</v>
      </c>
      <c r="I22" s="135">
        <v>1463130000</v>
      </c>
      <c r="J22" s="136">
        <f t="shared" ref="J22:J28" si="0">I22/$I$55</f>
        <v>7.263044050840653E-2</v>
      </c>
      <c r="K22" s="137">
        <f t="shared" ref="K22:K28" si="1">I22/H22-1</f>
        <v>2.905431067223696E-2</v>
      </c>
      <c r="L22" s="138">
        <v>1748385000</v>
      </c>
      <c r="M22" s="136">
        <f t="shared" ref="M22:M27" si="2">L22/$L$55</f>
        <v>6.6912406585850917E-2</v>
      </c>
      <c r="N22" s="139">
        <f t="shared" ref="N22:N28" si="3">L22/I22-1</f>
        <v>0.19496217014209272</v>
      </c>
      <c r="O22" s="140">
        <v>1738530000</v>
      </c>
      <c r="P22" s="136">
        <f t="shared" ref="P22:P28" si="4">O22/$O$56</f>
        <v>6.3613772421971651E-2</v>
      </c>
      <c r="Q22" s="139">
        <f t="shared" ref="Q22:Q28" si="5">O22/L22-1</f>
        <v>-5.6366303760327918E-3</v>
      </c>
      <c r="R22" s="12"/>
      <c r="S22" s="12"/>
    </row>
    <row r="23" spans="1:20" x14ac:dyDescent="0.25">
      <c r="A23" s="141"/>
      <c r="B23" s="142" t="s">
        <v>70</v>
      </c>
      <c r="C23" s="942" t="s">
        <v>71</v>
      </c>
      <c r="D23" s="943"/>
      <c r="E23" s="943"/>
      <c r="F23" s="943"/>
      <c r="G23" s="943"/>
      <c r="H23" s="143">
        <v>120000000</v>
      </c>
      <c r="I23" s="143">
        <v>120000000</v>
      </c>
      <c r="J23" s="144">
        <f t="shared" si="0"/>
        <v>5.9568547299343076E-3</v>
      </c>
      <c r="K23" s="145">
        <f t="shared" si="1"/>
        <v>0</v>
      </c>
      <c r="L23" s="146">
        <v>120000000</v>
      </c>
      <c r="M23" s="144">
        <f t="shared" si="2"/>
        <v>4.5925175463654233E-3</v>
      </c>
      <c r="N23" s="147">
        <f t="shared" si="3"/>
        <v>0</v>
      </c>
      <c r="O23" s="148">
        <v>115000000</v>
      </c>
      <c r="P23" s="144">
        <f t="shared" si="4"/>
        <v>4.2079134835330649E-3</v>
      </c>
      <c r="Q23" s="147">
        <f t="shared" si="5"/>
        <v>-4.166666666666663E-2</v>
      </c>
      <c r="R23" s="12"/>
      <c r="S23" s="12"/>
    </row>
    <row r="24" spans="1:20" x14ac:dyDescent="0.25">
      <c r="A24" s="141" t="s">
        <v>66</v>
      </c>
      <c r="B24" s="142"/>
      <c r="C24" s="942" t="s">
        <v>72</v>
      </c>
      <c r="D24" s="943"/>
      <c r="E24" s="943"/>
      <c r="F24" s="943"/>
      <c r="G24" s="943"/>
      <c r="H24" s="143">
        <v>28553400</v>
      </c>
      <c r="I24" s="143">
        <v>20000000</v>
      </c>
      <c r="J24" s="144">
        <f t="shared" si="0"/>
        <v>9.9280912165571793E-4</v>
      </c>
      <c r="K24" s="145">
        <f t="shared" si="1"/>
        <v>-0.29955802111132124</v>
      </c>
      <c r="L24" s="146">
        <v>20000000</v>
      </c>
      <c r="M24" s="144">
        <f t="shared" si="2"/>
        <v>7.6541959106090393E-4</v>
      </c>
      <c r="N24" s="147">
        <f t="shared" si="3"/>
        <v>0</v>
      </c>
      <c r="O24" s="148">
        <v>20000000</v>
      </c>
      <c r="P24" s="144">
        <f t="shared" si="4"/>
        <v>7.3181104061444601E-4</v>
      </c>
      <c r="Q24" s="147">
        <f t="shared" si="5"/>
        <v>0</v>
      </c>
      <c r="R24" s="12"/>
      <c r="S24" s="12"/>
    </row>
    <row r="25" spans="1:20" x14ac:dyDescent="0.25">
      <c r="A25" s="141"/>
      <c r="B25" s="142" t="s">
        <v>70</v>
      </c>
      <c r="C25" s="942" t="s">
        <v>170</v>
      </c>
      <c r="D25" s="943"/>
      <c r="E25" s="943"/>
      <c r="F25" s="943"/>
      <c r="G25" s="943"/>
      <c r="H25" s="143">
        <v>2000000</v>
      </c>
      <c r="I25" s="143">
        <v>2000000</v>
      </c>
      <c r="J25" s="144">
        <f t="shared" si="0"/>
        <v>9.9280912165571793E-5</v>
      </c>
      <c r="K25" s="145">
        <f t="shared" si="1"/>
        <v>0</v>
      </c>
      <c r="L25" s="146">
        <v>2000000</v>
      </c>
      <c r="M25" s="144">
        <f t="shared" si="2"/>
        <v>7.654195910609039E-5</v>
      </c>
      <c r="N25" s="147">
        <f t="shared" si="3"/>
        <v>0</v>
      </c>
      <c r="O25" s="148">
        <v>2000000</v>
      </c>
      <c r="P25" s="144">
        <f t="shared" si="4"/>
        <v>7.3181104061444604E-5</v>
      </c>
      <c r="Q25" s="147">
        <f t="shared" si="5"/>
        <v>0</v>
      </c>
      <c r="R25" s="12"/>
      <c r="S25" s="12"/>
    </row>
    <row r="26" spans="1:20" x14ac:dyDescent="0.25">
      <c r="A26" s="141" t="s">
        <v>66</v>
      </c>
      <c r="B26" s="142"/>
      <c r="C26" s="942" t="s">
        <v>73</v>
      </c>
      <c r="D26" s="943"/>
      <c r="E26" s="943"/>
      <c r="F26" s="943"/>
      <c r="G26" s="943"/>
      <c r="H26" s="143">
        <v>664626600</v>
      </c>
      <c r="I26" s="143">
        <v>674784000</v>
      </c>
      <c r="J26" s="144">
        <f t="shared" si="0"/>
        <v>3.3496585517366596E-2</v>
      </c>
      <c r="K26" s="145">
        <f t="shared" si="1"/>
        <v>1.5282867101617637E-2</v>
      </c>
      <c r="L26" s="146">
        <v>764310600</v>
      </c>
      <c r="M26" s="144">
        <f t="shared" si="2"/>
        <v>2.9250915344775703E-2</v>
      </c>
      <c r="N26" s="147">
        <f t="shared" si="3"/>
        <v>0.13267445582586435</v>
      </c>
      <c r="O26" s="148">
        <v>796829400</v>
      </c>
      <c r="P26" s="144">
        <f t="shared" si="4"/>
        <v>2.9156427620309233E-2</v>
      </c>
      <c r="Q26" s="147">
        <f t="shared" si="5"/>
        <v>4.2546577268456121E-2</v>
      </c>
      <c r="R26" s="12"/>
      <c r="S26" s="12"/>
    </row>
    <row r="27" spans="1:20" ht="15.75" thickBot="1" x14ac:dyDescent="0.3">
      <c r="A27" s="111"/>
      <c r="B27" s="149" t="s">
        <v>70</v>
      </c>
      <c r="C27" s="944" t="s">
        <v>169</v>
      </c>
      <c r="D27" s="945"/>
      <c r="E27" s="945"/>
      <c r="F27" s="945"/>
      <c r="G27" s="945"/>
      <c r="H27" s="150">
        <v>30000000</v>
      </c>
      <c r="I27" s="150">
        <v>25000000</v>
      </c>
      <c r="J27" s="151">
        <f t="shared" si="0"/>
        <v>1.2410114020696473E-3</v>
      </c>
      <c r="K27" s="115">
        <f t="shared" si="1"/>
        <v>-0.16666666666666663</v>
      </c>
      <c r="L27" s="152">
        <v>25000000</v>
      </c>
      <c r="M27" s="151">
        <f t="shared" si="2"/>
        <v>9.5677448882612983E-4</v>
      </c>
      <c r="N27" s="153">
        <f t="shared" si="3"/>
        <v>0</v>
      </c>
      <c r="O27" s="154">
        <v>25000000</v>
      </c>
      <c r="P27" s="151">
        <f t="shared" si="4"/>
        <v>9.1476380076805763E-4</v>
      </c>
      <c r="Q27" s="153">
        <f t="shared" si="5"/>
        <v>0</v>
      </c>
      <c r="R27" s="12"/>
      <c r="S27" s="12"/>
    </row>
    <row r="28" spans="1:20" ht="15.75" thickBot="1" x14ac:dyDescent="0.3">
      <c r="A28" s="119"/>
      <c r="B28" s="120"/>
      <c r="C28" s="946" t="s">
        <v>74</v>
      </c>
      <c r="D28" s="947"/>
      <c r="E28" s="947"/>
      <c r="F28" s="947"/>
      <c r="G28" s="947"/>
      <c r="H28" s="121">
        <f>SUM(H22:H27)</f>
        <v>2267000000</v>
      </c>
      <c r="I28" s="121">
        <f>SUM(I22:I27)</f>
        <v>2304914000</v>
      </c>
      <c r="J28" s="122">
        <f t="shared" si="0"/>
        <v>0.11441698219159836</v>
      </c>
      <c r="K28" s="123">
        <f t="shared" si="1"/>
        <v>1.6724305249228077E-2</v>
      </c>
      <c r="L28" s="124">
        <f>SUM(L22:L27)</f>
        <v>2679695600</v>
      </c>
      <c r="M28" s="122">
        <f>L28/$L$56</f>
        <v>0.10255457551598518</v>
      </c>
      <c r="N28" s="125">
        <f t="shared" si="3"/>
        <v>0.16260112090950041</v>
      </c>
      <c r="O28" s="126">
        <f>SUM(O22:O27)</f>
        <v>2697359400</v>
      </c>
      <c r="P28" s="122">
        <f t="shared" si="4"/>
        <v>9.8697869471257887E-2</v>
      </c>
      <c r="Q28" s="125">
        <f t="shared" si="5"/>
        <v>6.5917188504545088E-3</v>
      </c>
      <c r="R28" s="12"/>
      <c r="S28" s="12"/>
    </row>
    <row r="29" spans="1:20" x14ac:dyDescent="0.25">
      <c r="A29" s="83"/>
      <c r="B29" s="84"/>
      <c r="C29" s="85"/>
      <c r="D29" s="47"/>
      <c r="E29" s="47"/>
      <c r="F29" s="47"/>
      <c r="G29" s="47"/>
      <c r="H29" s="127"/>
      <c r="I29" s="127"/>
      <c r="J29" s="128"/>
      <c r="K29" s="133"/>
      <c r="L29" s="130"/>
      <c r="M29" s="128"/>
      <c r="N29" s="134"/>
      <c r="O29" s="132"/>
      <c r="P29" s="128"/>
      <c r="Q29" s="134"/>
      <c r="R29" s="12"/>
    </row>
    <row r="30" spans="1:20" x14ac:dyDescent="0.25">
      <c r="A30" s="83"/>
      <c r="B30" s="84"/>
      <c r="C30" s="92" t="s">
        <v>75</v>
      </c>
      <c r="D30" s="47"/>
      <c r="E30" s="47"/>
      <c r="F30" s="47"/>
      <c r="G30" s="47"/>
      <c r="H30" s="127"/>
      <c r="I30" s="127"/>
      <c r="J30" s="133"/>
      <c r="K30" s="133"/>
      <c r="L30" s="130"/>
      <c r="M30" s="133"/>
      <c r="N30" s="134"/>
      <c r="O30" s="132"/>
      <c r="P30" s="133"/>
      <c r="Q30" s="134"/>
      <c r="R30" s="12"/>
    </row>
    <row r="31" spans="1:20" x14ac:dyDescent="0.25">
      <c r="A31" s="103" t="s">
        <v>66</v>
      </c>
      <c r="B31" s="155" t="s">
        <v>70</v>
      </c>
      <c r="C31" s="942" t="s">
        <v>76</v>
      </c>
      <c r="D31" s="943"/>
      <c r="E31" s="943"/>
      <c r="F31" s="943"/>
      <c r="G31" s="943"/>
      <c r="H31" s="143">
        <v>1235000000</v>
      </c>
      <c r="I31" s="143">
        <v>1195000000</v>
      </c>
      <c r="J31" s="144">
        <f>I31/$I$55</f>
        <v>5.9320345018929146E-2</v>
      </c>
      <c r="K31" s="145">
        <f>I31/H31-1</f>
        <v>-3.2388663967611309E-2</v>
      </c>
      <c r="L31" s="146">
        <v>1420000000</v>
      </c>
      <c r="M31" s="144">
        <f>L31/$L$55</f>
        <v>5.4344790965324179E-2</v>
      </c>
      <c r="N31" s="156">
        <f>L31/I31-1</f>
        <v>0.18828451882845187</v>
      </c>
      <c r="O31" s="148">
        <f>SUM(O32:O34)</f>
        <v>1399232643</v>
      </c>
      <c r="P31" s="144">
        <f>O31/$O$56</f>
        <v>5.1198694826776588E-2</v>
      </c>
      <c r="Q31" s="156">
        <f>O31/L31-1</f>
        <v>-1.4624899295774596E-2</v>
      </c>
      <c r="R31" s="12"/>
    </row>
    <row r="32" spans="1:20" x14ac:dyDescent="0.25">
      <c r="A32" s="141" t="s">
        <v>66</v>
      </c>
      <c r="B32" s="142"/>
      <c r="C32" s="155" t="s">
        <v>161</v>
      </c>
      <c r="D32" s="157" t="s">
        <v>337</v>
      </c>
      <c r="E32" s="84"/>
      <c r="F32" s="84"/>
      <c r="G32" s="84"/>
      <c r="H32" s="158">
        <v>1035000000</v>
      </c>
      <c r="I32" s="158">
        <v>1035000000</v>
      </c>
      <c r="J32" s="144">
        <f>I32/$I$55</f>
        <v>5.13778720456834E-2</v>
      </c>
      <c r="K32" s="145">
        <f>I32/H32-1</f>
        <v>0</v>
      </c>
      <c r="L32" s="159">
        <v>1235000000</v>
      </c>
      <c r="M32" s="144">
        <f>L32/$L$55</f>
        <v>4.7264659748010814E-2</v>
      </c>
      <c r="N32" s="156">
        <f>L32/I32-1</f>
        <v>0.19323671497584538</v>
      </c>
      <c r="O32" s="160">
        <v>1239232643</v>
      </c>
      <c r="P32" s="144">
        <f>O32/$O$56</f>
        <v>4.5344206501861016E-2</v>
      </c>
      <c r="Q32" s="156">
        <f>O32/L32-1</f>
        <v>3.4272412955465015E-3</v>
      </c>
      <c r="R32" s="12"/>
    </row>
    <row r="33" spans="1:19" x14ac:dyDescent="0.25">
      <c r="A33" s="141"/>
      <c r="B33" s="142" t="s">
        <v>70</v>
      </c>
      <c r="C33" s="161"/>
      <c r="D33" s="162" t="s">
        <v>77</v>
      </c>
      <c r="E33" s="163"/>
      <c r="F33" s="163"/>
      <c r="G33" s="164"/>
      <c r="H33" s="165">
        <v>150000000</v>
      </c>
      <c r="I33" s="166">
        <v>160000000</v>
      </c>
      <c r="J33" s="144">
        <f>I33/$I$55</f>
        <v>7.9424729732457434E-3</v>
      </c>
      <c r="K33" s="145">
        <f>I33/H33-1</f>
        <v>6.6666666666666652E-2</v>
      </c>
      <c r="L33" s="167">
        <v>185000000</v>
      </c>
      <c r="M33" s="144">
        <f>L33/$L$55</f>
        <v>7.0801312173133608E-3</v>
      </c>
      <c r="N33" s="156">
        <f>L33/I33-1</f>
        <v>0.15625</v>
      </c>
      <c r="O33" s="168">
        <v>160000000</v>
      </c>
      <c r="P33" s="144">
        <f>O33/$O$56</f>
        <v>5.8544883249155681E-3</v>
      </c>
      <c r="Q33" s="156">
        <f>O33/L33-1</f>
        <v>-0.13513513513513509</v>
      </c>
      <c r="R33" s="12"/>
      <c r="S33" s="12"/>
    </row>
    <row r="34" spans="1:19" x14ac:dyDescent="0.25">
      <c r="A34" s="141"/>
      <c r="B34" s="142" t="s">
        <v>70</v>
      </c>
      <c r="C34" s="169"/>
      <c r="D34" s="162" t="s">
        <v>78</v>
      </c>
      <c r="E34" s="163"/>
      <c r="F34" s="163"/>
      <c r="G34" s="164"/>
      <c r="H34" s="165">
        <v>50000000</v>
      </c>
      <c r="I34" s="166"/>
      <c r="J34" s="144"/>
      <c r="K34" s="145"/>
      <c r="L34" s="167"/>
      <c r="M34" s="144"/>
      <c r="N34" s="156"/>
      <c r="O34" s="168">
        <v>0</v>
      </c>
      <c r="P34" s="144">
        <f>O34/$O$56</f>
        <v>0</v>
      </c>
      <c r="Q34" s="156"/>
      <c r="R34" s="12"/>
      <c r="S34" s="12"/>
    </row>
    <row r="35" spans="1:19" ht="15.75" thickBot="1" x14ac:dyDescent="0.3">
      <c r="A35" s="119"/>
      <c r="B35" s="120"/>
      <c r="C35" s="948" t="s">
        <v>79</v>
      </c>
      <c r="D35" s="949"/>
      <c r="E35" s="949"/>
      <c r="F35" s="949"/>
      <c r="G35" s="949"/>
      <c r="H35" s="121">
        <f>SUM(H31)</f>
        <v>1235000000</v>
      </c>
      <c r="I35" s="121">
        <f>SUM(I31)</f>
        <v>1195000000</v>
      </c>
      <c r="J35" s="122">
        <f>I35/$I$55</f>
        <v>5.9320345018929146E-2</v>
      </c>
      <c r="K35" s="123">
        <f>I35/H35-1</f>
        <v>-3.2388663967611309E-2</v>
      </c>
      <c r="L35" s="124">
        <f>SUM(L31)</f>
        <v>1420000000</v>
      </c>
      <c r="M35" s="122">
        <f>L35/$L$56</f>
        <v>5.4344790965324179E-2</v>
      </c>
      <c r="N35" s="125">
        <f>L35/I35-1</f>
        <v>0.18828451882845187</v>
      </c>
      <c r="O35" s="126">
        <f>SUM(O31)</f>
        <v>1399232643</v>
      </c>
      <c r="P35" s="122">
        <f>O35/$O$56</f>
        <v>5.1198694826776588E-2</v>
      </c>
      <c r="Q35" s="125">
        <f>O35/L35-1</f>
        <v>-1.4624899295774596E-2</v>
      </c>
      <c r="R35" s="12"/>
      <c r="S35" s="12"/>
    </row>
    <row r="36" spans="1:19" x14ac:dyDescent="0.25">
      <c r="A36" s="83"/>
      <c r="B36" s="84"/>
      <c r="C36" s="85"/>
      <c r="D36" s="47"/>
      <c r="E36" s="47"/>
      <c r="F36" s="47"/>
      <c r="G36" s="47"/>
      <c r="H36" s="127"/>
      <c r="I36" s="127"/>
      <c r="J36" s="128"/>
      <c r="K36" s="133"/>
      <c r="L36" s="130"/>
      <c r="M36" s="128"/>
      <c r="N36" s="134"/>
      <c r="O36" s="132"/>
      <c r="P36" s="128"/>
      <c r="Q36" s="134"/>
      <c r="R36" s="12"/>
    </row>
    <row r="37" spans="1:19" ht="15.75" thickBot="1" x14ac:dyDescent="0.3">
      <c r="A37" s="170"/>
      <c r="B37" s="171"/>
      <c r="C37" s="92" t="s">
        <v>80</v>
      </c>
      <c r="D37" s="47"/>
      <c r="E37" s="47"/>
      <c r="F37" s="47"/>
      <c r="G37" s="47"/>
      <c r="H37" s="127"/>
      <c r="I37" s="127"/>
      <c r="J37" s="133"/>
      <c r="K37" s="133"/>
      <c r="L37" s="130"/>
      <c r="M37" s="133"/>
      <c r="N37" s="134"/>
      <c r="O37" s="132"/>
      <c r="P37" s="133"/>
      <c r="Q37" s="134"/>
      <c r="R37" s="12"/>
    </row>
    <row r="38" spans="1:19" ht="15.75" thickBot="1" x14ac:dyDescent="0.3">
      <c r="A38" s="172" t="s">
        <v>66</v>
      </c>
      <c r="B38" s="173"/>
      <c r="C38" s="174" t="s">
        <v>81</v>
      </c>
      <c r="D38" s="175"/>
      <c r="E38" s="175"/>
      <c r="F38" s="175"/>
      <c r="G38" s="175"/>
      <c r="H38" s="176">
        <f>SUM(H39:H40)</f>
        <v>260000000</v>
      </c>
      <c r="I38" s="176">
        <f>SUM(I39:I40)</f>
        <v>260000000</v>
      </c>
      <c r="J38" s="177">
        <f>I38/$I$55</f>
        <v>1.2906518581524333E-2</v>
      </c>
      <c r="K38" s="178">
        <f>I38/H38-1</f>
        <v>0</v>
      </c>
      <c r="L38" s="179">
        <f>SUM(L39:L40)</f>
        <v>40000000</v>
      </c>
      <c r="M38" s="177">
        <f>L38/$L$55</f>
        <v>1.5308391821218079E-3</v>
      </c>
      <c r="N38" s="180">
        <f>L38/I38-1</f>
        <v>-0.84615384615384615</v>
      </c>
      <c r="O38" s="181">
        <f>SUM(O39:O40)</f>
        <v>47000000</v>
      </c>
      <c r="P38" s="177">
        <f t="shared" ref="P38:P56" si="6">O38/$O$56</f>
        <v>1.7197559454439483E-3</v>
      </c>
      <c r="Q38" s="180">
        <f>O38/L38-1</f>
        <v>0.17500000000000004</v>
      </c>
      <c r="R38" s="12"/>
    </row>
    <row r="39" spans="1:19" x14ac:dyDescent="0.25">
      <c r="A39" s="182" t="s">
        <v>66</v>
      </c>
      <c r="B39" s="183"/>
      <c r="C39" s="161"/>
      <c r="D39" s="162" t="s">
        <v>82</v>
      </c>
      <c r="E39" s="163"/>
      <c r="F39" s="163"/>
      <c r="G39" s="164"/>
      <c r="H39" s="184">
        <v>10000000</v>
      </c>
      <c r="I39" s="143">
        <v>10000000</v>
      </c>
      <c r="J39" s="144">
        <f>I39/$I$55</f>
        <v>4.9640456082785897E-4</v>
      </c>
      <c r="K39" s="145">
        <f t="shared" ref="K39:K54" si="7">I39/H39-1</f>
        <v>0</v>
      </c>
      <c r="L39" s="146">
        <v>10000000</v>
      </c>
      <c r="M39" s="144">
        <f>L39/$L$55</f>
        <v>3.8270979553045196E-4</v>
      </c>
      <c r="N39" s="156">
        <f>L39/I39-1</f>
        <v>0</v>
      </c>
      <c r="O39" s="148">
        <v>10000000</v>
      </c>
      <c r="P39" s="144">
        <f t="shared" si="6"/>
        <v>3.6590552030722301E-4</v>
      </c>
      <c r="Q39" s="156">
        <f>O39/L39-1</f>
        <v>0</v>
      </c>
      <c r="R39" s="12"/>
    </row>
    <row r="40" spans="1:19" ht="15.75" thickBot="1" x14ac:dyDescent="0.3">
      <c r="A40" s="185" t="s">
        <v>66</v>
      </c>
      <c r="B40" s="183"/>
      <c r="C40" s="161"/>
      <c r="D40" s="183" t="s">
        <v>83</v>
      </c>
      <c r="E40" s="186"/>
      <c r="F40" s="186"/>
      <c r="G40" s="187"/>
      <c r="H40" s="184">
        <v>250000000</v>
      </c>
      <c r="I40" s="143">
        <v>250000000</v>
      </c>
      <c r="J40" s="144">
        <f>I40/$I$55</f>
        <v>1.2410114020696474E-2</v>
      </c>
      <c r="K40" s="145">
        <f t="shared" si="7"/>
        <v>0</v>
      </c>
      <c r="L40" s="146">
        <v>30000000</v>
      </c>
      <c r="M40" s="144">
        <f>L40/$L$55</f>
        <v>1.1481293865913558E-3</v>
      </c>
      <c r="N40" s="156">
        <f>L40/I40-1</f>
        <v>-0.88</v>
      </c>
      <c r="O40" s="148">
        <v>37000000</v>
      </c>
      <c r="P40" s="144">
        <f t="shared" si="6"/>
        <v>1.3538504251367253E-3</v>
      </c>
      <c r="Q40" s="156">
        <f>O40/L40-1</f>
        <v>0.23333333333333339</v>
      </c>
      <c r="R40" s="12"/>
    </row>
    <row r="41" spans="1:19" ht="15.75" thickBot="1" x14ac:dyDescent="0.3">
      <c r="A41" s="511"/>
      <c r="B41" s="188"/>
      <c r="C41" s="174" t="s">
        <v>84</v>
      </c>
      <c r="D41" s="175"/>
      <c r="E41" s="175"/>
      <c r="F41" s="175"/>
      <c r="G41" s="175"/>
      <c r="H41" s="189">
        <f>SUM(H42:H53)</f>
        <v>480400000</v>
      </c>
      <c r="I41" s="189">
        <f>SUM(I42:I53)</f>
        <v>390686000</v>
      </c>
      <c r="J41" s="177">
        <f>I41/$I$55</f>
        <v>1.9393831225159291E-2</v>
      </c>
      <c r="K41" s="178">
        <f t="shared" si="7"/>
        <v>-0.18674854288093257</v>
      </c>
      <c r="L41" s="190">
        <f>SUM(L42:L51)</f>
        <v>242904400</v>
      </c>
      <c r="M41" s="177">
        <f>L41/$L$55</f>
        <v>9.2961893257447106E-3</v>
      </c>
      <c r="N41" s="180">
        <f>L41/I41-1</f>
        <v>-0.378261826633153</v>
      </c>
      <c r="O41" s="191">
        <f>SUM(O42:O51)</f>
        <v>461767357</v>
      </c>
      <c r="P41" s="177">
        <f t="shared" si="6"/>
        <v>1.6896322502397622E-2</v>
      </c>
      <c r="Q41" s="180">
        <f>O41/L41-1</f>
        <v>0.90102508229575085</v>
      </c>
      <c r="R41" s="12"/>
    </row>
    <row r="42" spans="1:19" x14ac:dyDescent="0.25">
      <c r="A42" s="192" t="s">
        <v>66</v>
      </c>
      <c r="B42" s="157" t="s">
        <v>70</v>
      </c>
      <c r="C42" s="161" t="s">
        <v>85</v>
      </c>
      <c r="D42" s="193" t="s">
        <v>86</v>
      </c>
      <c r="E42" s="193"/>
      <c r="F42" s="193"/>
      <c r="G42" s="193"/>
      <c r="H42" s="194"/>
      <c r="I42" s="194"/>
      <c r="J42" s="195"/>
      <c r="K42" s="196"/>
      <c r="L42" s="197"/>
      <c r="M42" s="195"/>
      <c r="N42" s="198"/>
      <c r="O42" s="199"/>
      <c r="P42" s="195">
        <f t="shared" si="6"/>
        <v>0</v>
      </c>
      <c r="Q42" s="198"/>
      <c r="R42" s="12"/>
      <c r="S42" s="12"/>
    </row>
    <row r="43" spans="1:19" x14ac:dyDescent="0.25">
      <c r="A43" s="141" t="s">
        <v>66</v>
      </c>
      <c r="B43" s="157"/>
      <c r="C43" s="161"/>
      <c r="D43" s="155" t="s">
        <v>161</v>
      </c>
      <c r="E43" s="186" t="s">
        <v>87</v>
      </c>
      <c r="F43" s="193"/>
      <c r="G43" s="193"/>
      <c r="H43" s="200">
        <v>86690000</v>
      </c>
      <c r="I43" s="200">
        <v>86690000</v>
      </c>
      <c r="J43" s="201">
        <f>I43/$I$55</f>
        <v>4.3033311378167091E-3</v>
      </c>
      <c r="K43" s="202">
        <f t="shared" si="7"/>
        <v>0</v>
      </c>
      <c r="L43" s="146">
        <v>86690000</v>
      </c>
      <c r="M43" s="201">
        <f>L43/$L$55</f>
        <v>3.317711217453488E-3</v>
      </c>
      <c r="N43" s="156">
        <f>L43/I43-1</f>
        <v>0</v>
      </c>
      <c r="O43" s="148">
        <v>100000000</v>
      </c>
      <c r="P43" s="201">
        <f t="shared" si="6"/>
        <v>3.6590552030722305E-3</v>
      </c>
      <c r="Q43" s="156">
        <f>O43/L43-1</f>
        <v>0.15353558657284583</v>
      </c>
      <c r="R43" s="12"/>
      <c r="S43" s="12"/>
    </row>
    <row r="44" spans="1:19" x14ac:dyDescent="0.25">
      <c r="A44" s="192" t="s">
        <v>66</v>
      </c>
      <c r="B44" s="157"/>
      <c r="C44" s="161"/>
      <c r="D44" s="161"/>
      <c r="E44" s="186" t="s">
        <v>88</v>
      </c>
      <c r="F44" s="193"/>
      <c r="G44" s="193"/>
      <c r="H44" s="200">
        <v>22000000</v>
      </c>
      <c r="I44" s="200">
        <v>22000000</v>
      </c>
      <c r="J44" s="201">
        <f>I44/$I$55</f>
        <v>1.0920900338212897E-3</v>
      </c>
      <c r="K44" s="202">
        <f t="shared" si="7"/>
        <v>0</v>
      </c>
      <c r="L44" s="146">
        <v>22000000</v>
      </c>
      <c r="M44" s="201">
        <f>L44/$L$55</f>
        <v>8.4196155016699433E-4</v>
      </c>
      <c r="N44" s="156">
        <f>L44/I44-1</f>
        <v>0</v>
      </c>
      <c r="O44" s="148">
        <v>15000000</v>
      </c>
      <c r="P44" s="201">
        <f t="shared" si="6"/>
        <v>5.4885828046083451E-4</v>
      </c>
      <c r="Q44" s="156">
        <f>O44/L44-1</f>
        <v>-0.31818181818181823</v>
      </c>
      <c r="R44" s="12"/>
      <c r="S44" s="12"/>
    </row>
    <row r="45" spans="1:19" x14ac:dyDescent="0.25">
      <c r="A45" s="192" t="s">
        <v>66</v>
      </c>
      <c r="B45" s="157"/>
      <c r="C45" s="161"/>
      <c r="D45" s="161"/>
      <c r="E45" s="193" t="s">
        <v>89</v>
      </c>
      <c r="F45" s="193"/>
      <c r="G45" s="193"/>
      <c r="H45" s="194">
        <v>8000000</v>
      </c>
      <c r="I45" s="194"/>
      <c r="J45" s="195"/>
      <c r="K45" s="202"/>
      <c r="L45" s="203"/>
      <c r="M45" s="195"/>
      <c r="N45" s="156"/>
      <c r="O45" s="204">
        <v>0</v>
      </c>
      <c r="P45" s="195">
        <f t="shared" si="6"/>
        <v>0</v>
      </c>
      <c r="Q45" s="156"/>
      <c r="R45" s="12"/>
      <c r="S45" s="12"/>
    </row>
    <row r="46" spans="1:19" ht="16.5" x14ac:dyDescent="0.25">
      <c r="A46" s="192" t="s">
        <v>66</v>
      </c>
      <c r="B46" s="157"/>
      <c r="C46" s="161"/>
      <c r="D46" s="161"/>
      <c r="E46" s="193" t="s">
        <v>187</v>
      </c>
      <c r="F46" s="193"/>
      <c r="G46" s="193"/>
      <c r="H46" s="194">
        <v>85000000</v>
      </c>
      <c r="I46" s="194">
        <v>30000000</v>
      </c>
      <c r="J46" s="195">
        <f>I46/$I$55</f>
        <v>1.4892136824835769E-3</v>
      </c>
      <c r="K46" s="202">
        <f t="shared" si="7"/>
        <v>-0.64705882352941169</v>
      </c>
      <c r="L46" s="203"/>
      <c r="M46" s="195">
        <f>L46/$L$55</f>
        <v>0</v>
      </c>
      <c r="N46" s="156">
        <f>L46/I46-1</f>
        <v>-1</v>
      </c>
      <c r="O46" s="204">
        <v>0</v>
      </c>
      <c r="P46" s="195">
        <f t="shared" si="6"/>
        <v>0</v>
      </c>
      <c r="Q46" s="156"/>
      <c r="R46" s="12"/>
      <c r="S46" s="12"/>
    </row>
    <row r="47" spans="1:19" x14ac:dyDescent="0.25">
      <c r="A47" s="192"/>
      <c r="B47" s="157" t="s">
        <v>70</v>
      </c>
      <c r="C47" s="161"/>
      <c r="D47" s="161"/>
      <c r="E47" s="186" t="s">
        <v>167</v>
      </c>
      <c r="F47" s="193"/>
      <c r="G47" s="193"/>
      <c r="H47" s="200">
        <v>8000000</v>
      </c>
      <c r="I47" s="200">
        <v>8000000</v>
      </c>
      <c r="J47" s="201">
        <f>I47/$I$55</f>
        <v>3.9712364866228717E-4</v>
      </c>
      <c r="K47" s="202">
        <f t="shared" si="7"/>
        <v>0</v>
      </c>
      <c r="L47" s="146">
        <v>11000000</v>
      </c>
      <c r="M47" s="201">
        <f>L47/$L$55</f>
        <v>4.2098077508349717E-4</v>
      </c>
      <c r="N47" s="156">
        <f>L47/I47-1</f>
        <v>0.375</v>
      </c>
      <c r="O47" s="148">
        <v>11000000</v>
      </c>
      <c r="P47" s="201">
        <f t="shared" si="6"/>
        <v>4.0249607233794533E-4</v>
      </c>
      <c r="Q47" s="156">
        <f>O47/L47-1</f>
        <v>0</v>
      </c>
      <c r="R47" s="12"/>
      <c r="S47" s="12"/>
    </row>
    <row r="48" spans="1:19" x14ac:dyDescent="0.25">
      <c r="A48" s="192"/>
      <c r="B48" s="157" t="s">
        <v>70</v>
      </c>
      <c r="C48" s="161"/>
      <c r="D48" s="161"/>
      <c r="E48" s="186" t="s">
        <v>168</v>
      </c>
      <c r="F48" s="186"/>
      <c r="G48" s="186"/>
      <c r="H48" s="200">
        <v>24000000</v>
      </c>
      <c r="I48" s="200">
        <v>24000000</v>
      </c>
      <c r="J48" s="201">
        <f>I48/$I$55</f>
        <v>1.1913709459868615E-3</v>
      </c>
      <c r="K48" s="202">
        <f t="shared" si="7"/>
        <v>0</v>
      </c>
      <c r="L48" s="146">
        <v>24000000</v>
      </c>
      <c r="M48" s="201">
        <f>L48/$L$55</f>
        <v>9.1850350927308463E-4</v>
      </c>
      <c r="N48" s="156">
        <f>L48/I48-1</f>
        <v>0</v>
      </c>
      <c r="O48" s="148">
        <v>20000000</v>
      </c>
      <c r="P48" s="201">
        <f t="shared" si="6"/>
        <v>7.3181104061444601E-4</v>
      </c>
      <c r="Q48" s="156">
        <f>O48/L48-1</f>
        <v>-0.16666666666666663</v>
      </c>
      <c r="R48" s="12"/>
      <c r="S48" s="12"/>
    </row>
    <row r="49" spans="1:20" s="859" customFormat="1" x14ac:dyDescent="0.25">
      <c r="A49" s="192"/>
      <c r="B49" s="157" t="s">
        <v>66</v>
      </c>
      <c r="C49" s="161"/>
      <c r="D49" s="161"/>
      <c r="E49" s="205" t="s">
        <v>339</v>
      </c>
      <c r="F49" s="205"/>
      <c r="G49" s="205"/>
      <c r="H49" s="194"/>
      <c r="I49" s="194"/>
      <c r="J49" s="195"/>
      <c r="K49" s="196"/>
      <c r="L49" s="203"/>
      <c r="M49" s="201"/>
      <c r="N49" s="156"/>
      <c r="O49" s="204">
        <v>150000000</v>
      </c>
      <c r="P49" s="201">
        <f t="shared" si="6"/>
        <v>5.4885828046083458E-3</v>
      </c>
      <c r="Q49" s="156"/>
      <c r="R49" s="12"/>
      <c r="S49" s="12"/>
    </row>
    <row r="50" spans="1:20" s="859" customFormat="1" x14ac:dyDescent="0.25">
      <c r="A50" s="192"/>
      <c r="B50" s="157" t="s">
        <v>66</v>
      </c>
      <c r="C50" s="161"/>
      <c r="D50" s="161"/>
      <c r="E50" s="205" t="s">
        <v>338</v>
      </c>
      <c r="F50" s="205"/>
      <c r="G50" s="205"/>
      <c r="H50" s="194"/>
      <c r="I50" s="194"/>
      <c r="J50" s="195"/>
      <c r="K50" s="196"/>
      <c r="L50" s="203"/>
      <c r="M50" s="201"/>
      <c r="N50" s="156"/>
      <c r="O50" s="204">
        <v>120000000</v>
      </c>
      <c r="P50" s="201">
        <f t="shared" si="6"/>
        <v>4.3908662436866761E-3</v>
      </c>
      <c r="Q50" s="156"/>
      <c r="R50" s="12"/>
      <c r="S50" s="12"/>
    </row>
    <row r="51" spans="1:20" x14ac:dyDescent="0.25">
      <c r="A51" s="192" t="s">
        <v>66</v>
      </c>
      <c r="B51" s="157" t="s">
        <v>70</v>
      </c>
      <c r="C51" s="161"/>
      <c r="D51" s="161"/>
      <c r="E51" s="205" t="s">
        <v>90</v>
      </c>
      <c r="F51" s="205"/>
      <c r="G51" s="205"/>
      <c r="H51" s="194">
        <v>216710000</v>
      </c>
      <c r="I51" s="194">
        <v>81996000</v>
      </c>
      <c r="J51" s="195">
        <f>I51/$I$55</f>
        <v>4.0703188369641125E-3</v>
      </c>
      <c r="K51" s="196">
        <f t="shared" si="7"/>
        <v>-0.62163259655761149</v>
      </c>
      <c r="L51" s="203">
        <v>99214400</v>
      </c>
      <c r="M51" s="201">
        <f>L51/$L$55</f>
        <v>3.7970322737676471E-3</v>
      </c>
      <c r="N51" s="156">
        <f>L51/I51-1</f>
        <v>0.20999073125518319</v>
      </c>
      <c r="O51" s="204">
        <v>45767357</v>
      </c>
      <c r="P51" s="201">
        <f t="shared" si="6"/>
        <v>1.6746528576171427E-3</v>
      </c>
      <c r="Q51" s="156">
        <f>O51/L51-1</f>
        <v>-0.53870247665661442</v>
      </c>
      <c r="R51" s="12"/>
      <c r="S51" s="12"/>
    </row>
    <row r="52" spans="1:20" x14ac:dyDescent="0.25">
      <c r="A52" s="192" t="s">
        <v>66</v>
      </c>
      <c r="B52" s="157"/>
      <c r="C52" s="937" t="s">
        <v>184</v>
      </c>
      <c r="D52" s="938"/>
      <c r="E52" s="938"/>
      <c r="F52" s="938"/>
      <c r="G52" s="939"/>
      <c r="H52" s="194"/>
      <c r="I52" s="194">
        <v>100000000</v>
      </c>
      <c r="J52" s="195"/>
      <c r="K52" s="202"/>
      <c r="L52" s="203">
        <v>100000000</v>
      </c>
      <c r="M52" s="195">
        <f t="shared" ref="M52:M53" si="8">L52/$L$55</f>
        <v>3.8270979553045193E-3</v>
      </c>
      <c r="N52" s="156"/>
      <c r="O52" s="204">
        <v>100000000</v>
      </c>
      <c r="P52" s="195">
        <f t="shared" si="6"/>
        <v>3.6590552030722305E-3</v>
      </c>
      <c r="Q52" s="156">
        <f t="shared" ref="Q52:Q53" si="9">O52/L52-1</f>
        <v>0</v>
      </c>
      <c r="R52" s="12"/>
      <c r="S52" s="12"/>
    </row>
    <row r="53" spans="1:20" ht="15.75" thickBot="1" x14ac:dyDescent="0.3">
      <c r="A53" s="192" t="s">
        <v>66</v>
      </c>
      <c r="B53" s="157"/>
      <c r="C53" s="950" t="s">
        <v>186</v>
      </c>
      <c r="D53" s="951"/>
      <c r="E53" s="951"/>
      <c r="F53" s="951"/>
      <c r="G53" s="952"/>
      <c r="H53" s="194">
        <v>30000000</v>
      </c>
      <c r="I53" s="194">
        <v>38000000</v>
      </c>
      <c r="J53" s="195"/>
      <c r="K53" s="196"/>
      <c r="L53" s="203">
        <v>38000000</v>
      </c>
      <c r="M53" s="201">
        <f t="shared" si="8"/>
        <v>1.4542972230157174E-3</v>
      </c>
      <c r="N53" s="156">
        <f t="shared" ref="N53" si="10">L53/I53-1</f>
        <v>0</v>
      </c>
      <c r="O53" s="886">
        <v>0</v>
      </c>
      <c r="P53" s="201">
        <f t="shared" si="6"/>
        <v>0</v>
      </c>
      <c r="Q53" s="156">
        <f t="shared" si="9"/>
        <v>-1</v>
      </c>
      <c r="R53" s="12"/>
      <c r="S53" s="12"/>
    </row>
    <row r="54" spans="1:20" ht="15.75" thickBot="1" x14ac:dyDescent="0.3">
      <c r="A54" s="206"/>
      <c r="B54" s="207"/>
      <c r="C54" s="208" t="s">
        <v>91</v>
      </c>
      <c r="D54" s="209"/>
      <c r="E54" s="209"/>
      <c r="F54" s="209"/>
      <c r="G54" s="209"/>
      <c r="H54" s="210">
        <f>+H38+H41</f>
        <v>740400000</v>
      </c>
      <c r="I54" s="210">
        <f>+I38+I41</f>
        <v>650686000</v>
      </c>
      <c r="J54" s="211">
        <f>I54/$I$55</f>
        <v>3.2300349806683622E-2</v>
      </c>
      <c r="K54" s="212">
        <f t="shared" si="7"/>
        <v>-0.12116963803349545</v>
      </c>
      <c r="L54" s="213">
        <f>+L38+L41+L52+L53</f>
        <v>420904400</v>
      </c>
      <c r="M54" s="211">
        <f>L54/$L$56</f>
        <v>1.6108423686186757E-2</v>
      </c>
      <c r="N54" s="214">
        <f>L54/I54-1</f>
        <v>-0.35313745800585838</v>
      </c>
      <c r="O54" s="905">
        <f>+O38+O41+O52+O53</f>
        <v>608767357</v>
      </c>
      <c r="P54" s="211">
        <f t="shared" si="6"/>
        <v>2.2275133650913801E-2</v>
      </c>
      <c r="Q54" s="214">
        <f>O54/L54-1</f>
        <v>0.44633165393376739</v>
      </c>
      <c r="R54" s="12"/>
      <c r="S54" s="12"/>
      <c r="T54" s="12"/>
    </row>
    <row r="55" spans="1:20" s="223" customFormat="1" ht="6" customHeight="1" thickBot="1" x14ac:dyDescent="0.3">
      <c r="A55" s="215"/>
      <c r="B55" s="216"/>
      <c r="C55" s="217"/>
      <c r="D55" s="217"/>
      <c r="E55" s="217"/>
      <c r="F55" s="217"/>
      <c r="G55" s="217"/>
      <c r="H55" s="218">
        <v>19907272</v>
      </c>
      <c r="I55" s="218">
        <v>20144859232</v>
      </c>
      <c r="J55" s="219">
        <f>I55/$I$55</f>
        <v>1</v>
      </c>
      <c r="K55" s="220"/>
      <c r="L55" s="221">
        <f>L56</f>
        <v>26129459232</v>
      </c>
      <c r="M55" s="219"/>
      <c r="N55" s="222"/>
      <c r="O55" s="886"/>
      <c r="P55" s="219">
        <f t="shared" si="6"/>
        <v>0</v>
      </c>
      <c r="Q55" s="222"/>
      <c r="R55" s="12"/>
    </row>
    <row r="56" spans="1:20" ht="16.5" thickBot="1" x14ac:dyDescent="0.3">
      <c r="A56" s="512"/>
      <c r="B56" s="513"/>
      <c r="C56" s="514" t="s">
        <v>162</v>
      </c>
      <c r="D56" s="515"/>
      <c r="E56" s="515"/>
      <c r="F56" s="515"/>
      <c r="G56" s="516"/>
      <c r="H56" s="245">
        <f>+H19+H28+H35+H54</f>
        <v>24246459232</v>
      </c>
      <c r="I56" s="245">
        <f>+I19+I28+I35+I54</f>
        <v>25129459232</v>
      </c>
      <c r="J56" s="211">
        <f>I56/$I$55</f>
        <v>1.2474378173902545</v>
      </c>
      <c r="K56" s="212">
        <f>I56/H56-1</f>
        <v>3.6417688519016167E-2</v>
      </c>
      <c r="L56" s="517">
        <f>+L19+L28+L35+L54</f>
        <v>26129459232</v>
      </c>
      <c r="M56" s="211">
        <f>L56/$L$56</f>
        <v>1</v>
      </c>
      <c r="N56" s="214">
        <f>L56/I56-1</f>
        <v>3.9793932323326509E-2</v>
      </c>
      <c r="O56" s="518">
        <f>+O19+O28+O35+O54</f>
        <v>27329459232</v>
      </c>
      <c r="P56" s="211">
        <f t="shared" si="6"/>
        <v>1</v>
      </c>
      <c r="Q56" s="214">
        <f>O56/L56-1</f>
        <v>4.5925175463654266E-2</v>
      </c>
      <c r="R56" s="12"/>
    </row>
    <row r="57" spans="1:20" ht="15.75" thickBot="1" x14ac:dyDescent="0.3"/>
    <row r="58" spans="1:20" ht="15.75" x14ac:dyDescent="0.25">
      <c r="A58" s="521"/>
      <c r="B58" s="522"/>
      <c r="C58" s="523" t="s">
        <v>163</v>
      </c>
      <c r="D58" s="524"/>
      <c r="E58" s="524"/>
      <c r="F58" s="524"/>
      <c r="G58" s="524"/>
      <c r="H58" s="135"/>
      <c r="I58" s="135"/>
      <c r="J58" s="525"/>
      <c r="K58" s="526"/>
      <c r="L58" s="527">
        <v>2245994748</v>
      </c>
      <c r="M58" s="525"/>
      <c r="N58" s="528"/>
      <c r="O58" s="529">
        <v>1235994748</v>
      </c>
      <c r="P58" s="525"/>
      <c r="Q58" s="528"/>
      <c r="R58" s="12"/>
    </row>
    <row r="59" spans="1:20" ht="15.75" x14ac:dyDescent="0.25">
      <c r="A59" s="224"/>
      <c r="B59" s="225"/>
      <c r="C59" s="226" t="s">
        <v>288</v>
      </c>
      <c r="D59" s="227"/>
      <c r="E59" s="227"/>
      <c r="F59" s="227"/>
      <c r="G59" s="227"/>
      <c r="H59" s="143"/>
      <c r="I59" s="143"/>
      <c r="J59" s="228"/>
      <c r="K59" s="229"/>
      <c r="L59" s="230">
        <v>36223000</v>
      </c>
      <c r="M59" s="228"/>
      <c r="N59" s="231"/>
      <c r="O59" s="232">
        <v>36223000</v>
      </c>
      <c r="P59" s="228"/>
      <c r="Q59" s="231"/>
      <c r="R59" s="530"/>
      <c r="S59" s="530"/>
    </row>
    <row r="60" spans="1:20" ht="16.5" thickBot="1" x14ac:dyDescent="0.3">
      <c r="A60" s="233"/>
      <c r="B60" s="234"/>
      <c r="C60" s="235" t="s">
        <v>164</v>
      </c>
      <c r="D60" s="236"/>
      <c r="E60" s="236"/>
      <c r="F60" s="236"/>
      <c r="G60" s="236"/>
      <c r="H60" s="237"/>
      <c r="I60" s="237"/>
      <c r="J60" s="238"/>
      <c r="K60" s="239"/>
      <c r="L60" s="240">
        <v>26129459232</v>
      </c>
      <c r="M60" s="238"/>
      <c r="N60" s="241"/>
      <c r="O60" s="242">
        <f>O56</f>
        <v>27329459232</v>
      </c>
      <c r="P60" s="238"/>
      <c r="Q60" s="241"/>
      <c r="R60" s="530"/>
    </row>
    <row r="61" spans="1:20" ht="16.5" thickBot="1" x14ac:dyDescent="0.3">
      <c r="A61" s="243"/>
      <c r="B61" s="244"/>
      <c r="C61" s="935" t="s">
        <v>92</v>
      </c>
      <c r="D61" s="936"/>
      <c r="E61" s="936"/>
      <c r="F61" s="936"/>
      <c r="G61" s="936"/>
      <c r="H61" s="245"/>
      <c r="I61" s="245"/>
      <c r="J61" s="211"/>
      <c r="K61" s="212"/>
      <c r="L61" s="713">
        <f>SUM(L58:L60)</f>
        <v>28411676980</v>
      </c>
      <c r="M61" s="211"/>
      <c r="N61" s="214"/>
      <c r="O61" s="519">
        <f>SUM(O58:O60)</f>
        <v>28601676980</v>
      </c>
      <c r="P61" s="211"/>
      <c r="Q61" s="214"/>
      <c r="R61" s="12"/>
    </row>
    <row r="62" spans="1:20" x14ac:dyDescent="0.25">
      <c r="A62" s="246"/>
      <c r="B62" s="246"/>
      <c r="C62" s="246"/>
      <c r="D62" s="246"/>
      <c r="E62" s="246"/>
      <c r="F62" s="246"/>
      <c r="G62" s="246"/>
      <c r="H62" s="247"/>
      <c r="I62" s="248"/>
      <c r="J62" s="249"/>
      <c r="K62" s="250"/>
      <c r="L62" s="250"/>
      <c r="M62" s="249"/>
      <c r="N62" s="250"/>
      <c r="O62" s="250"/>
      <c r="P62" s="251"/>
      <c r="Q62" s="251"/>
    </row>
    <row r="63" spans="1:20" ht="15.75" x14ac:dyDescent="0.25">
      <c r="A63" s="246"/>
      <c r="B63" s="246"/>
      <c r="C63" s="252" t="s">
        <v>287</v>
      </c>
      <c r="D63" s="246"/>
      <c r="E63" s="246"/>
      <c r="F63" s="246"/>
      <c r="G63" s="246"/>
      <c r="H63" s="247"/>
      <c r="I63" s="248"/>
      <c r="J63" s="249"/>
      <c r="K63" s="250"/>
      <c r="L63" s="250"/>
      <c r="M63" s="249"/>
      <c r="N63" s="250"/>
      <c r="O63" s="250"/>
      <c r="P63" s="251"/>
      <c r="Q63" s="251"/>
    </row>
    <row r="64" spans="1:20" x14ac:dyDescent="0.25">
      <c r="A64" s="246"/>
      <c r="B64" s="246"/>
      <c r="C64" s="933" t="s">
        <v>93</v>
      </c>
      <c r="D64" s="933"/>
      <c r="E64" s="933"/>
      <c r="F64" s="933"/>
      <c r="G64" s="933"/>
      <c r="H64" s="253"/>
      <c r="I64" s="254"/>
      <c r="J64" s="255"/>
      <c r="K64" s="256"/>
      <c r="L64" s="256">
        <v>25699467832</v>
      </c>
      <c r="M64" s="255"/>
      <c r="N64" s="256"/>
      <c r="O64" s="256">
        <f>SUM(O19,O22,O24,O26,O32,O39,O40,O43,O44,O46,O52,O53,O59,O49,O50)</f>
        <v>26986914875</v>
      </c>
      <c r="P64" s="251"/>
      <c r="Q64" s="599"/>
    </row>
    <row r="65" spans="1:17" x14ac:dyDescent="0.25">
      <c r="A65" s="246"/>
      <c r="B65" s="246"/>
      <c r="C65" s="933" t="s">
        <v>94</v>
      </c>
      <c r="D65" s="933"/>
      <c r="E65" s="933"/>
      <c r="F65" s="933"/>
      <c r="G65" s="933"/>
      <c r="H65" s="253"/>
      <c r="I65" s="254"/>
      <c r="J65" s="255"/>
      <c r="K65" s="256"/>
      <c r="L65" s="256">
        <v>2612994748</v>
      </c>
      <c r="M65" s="255"/>
      <c r="N65" s="256"/>
      <c r="O65" s="256">
        <f>SUM(O23,O25,O27,O33,O47,O48,O58)</f>
        <v>1568994748</v>
      </c>
      <c r="P65" s="251"/>
      <c r="Q65" s="251"/>
    </row>
    <row r="66" spans="1:17" x14ac:dyDescent="0.25">
      <c r="A66" s="246"/>
      <c r="B66" s="246"/>
      <c r="C66" s="933" t="s">
        <v>188</v>
      </c>
      <c r="D66" s="933"/>
      <c r="E66" s="933"/>
      <c r="F66" s="933"/>
      <c r="G66" s="933"/>
      <c r="H66" s="253"/>
      <c r="I66" s="254"/>
      <c r="J66" s="255"/>
      <c r="K66" s="256"/>
      <c r="L66" s="256">
        <v>99214400</v>
      </c>
      <c r="M66" s="255"/>
      <c r="N66" s="256"/>
      <c r="O66" s="256">
        <f>O61-O64-O65</f>
        <v>45767357</v>
      </c>
      <c r="P66" s="251"/>
      <c r="Q66" s="251"/>
    </row>
    <row r="67" spans="1:17" x14ac:dyDescent="0.25">
      <c r="A67" s="246"/>
      <c r="B67" s="246"/>
      <c r="C67" s="520"/>
      <c r="D67" s="520"/>
      <c r="E67" s="520"/>
      <c r="F67" s="520"/>
      <c r="G67" s="520"/>
      <c r="H67" s="247"/>
      <c r="I67" s="248"/>
      <c r="J67" s="249"/>
      <c r="K67" s="250"/>
      <c r="L67" s="250"/>
      <c r="M67" s="249"/>
      <c r="N67" s="250"/>
      <c r="O67" s="250"/>
      <c r="P67" s="251"/>
      <c r="Q67" s="251"/>
    </row>
    <row r="68" spans="1:17" ht="16.5" x14ac:dyDescent="0.25">
      <c r="A68" s="257" t="s">
        <v>165</v>
      </c>
      <c r="B68" s="934" t="s">
        <v>95</v>
      </c>
      <c r="C68" s="934"/>
      <c r="D68" s="934"/>
      <c r="E68" s="934"/>
      <c r="F68" s="934"/>
      <c r="G68" s="934"/>
      <c r="H68" s="934"/>
      <c r="I68" s="934"/>
      <c r="J68" s="934"/>
      <c r="K68" s="934"/>
      <c r="L68" s="934"/>
      <c r="M68" s="934"/>
      <c r="N68" s="934"/>
      <c r="O68" s="934"/>
      <c r="P68" s="934"/>
      <c r="Q68" s="934"/>
    </row>
    <row r="69" spans="1:17" ht="16.5" x14ac:dyDescent="0.25">
      <c r="A69" s="257" t="s">
        <v>166</v>
      </c>
      <c r="B69" s="934" t="s">
        <v>321</v>
      </c>
      <c r="C69" s="934"/>
      <c r="D69" s="934"/>
      <c r="E69" s="934"/>
      <c r="F69" s="934"/>
      <c r="G69" s="934"/>
      <c r="H69" s="934"/>
      <c r="I69" s="934"/>
      <c r="J69" s="934"/>
      <c r="K69" s="934"/>
      <c r="L69" s="934"/>
      <c r="M69" s="934"/>
      <c r="N69" s="934"/>
      <c r="O69" s="934"/>
      <c r="P69" s="934"/>
      <c r="Q69" s="934"/>
    </row>
    <row r="70" spans="1:17" ht="27.75" customHeight="1" x14ac:dyDescent="0.25">
      <c r="A70" s="257" t="s">
        <v>185</v>
      </c>
      <c r="B70" s="932" t="s">
        <v>348</v>
      </c>
      <c r="C70" s="932"/>
      <c r="D70" s="932"/>
      <c r="E70" s="932"/>
      <c r="F70" s="932"/>
      <c r="G70" s="932"/>
      <c r="H70" s="932"/>
      <c r="I70" s="932"/>
      <c r="J70" s="932"/>
      <c r="K70" s="932"/>
      <c r="L70" s="932"/>
      <c r="M70" s="932"/>
      <c r="N70" s="932"/>
      <c r="O70" s="932"/>
      <c r="P70" s="932"/>
      <c r="Q70" s="932"/>
    </row>
    <row r="71" spans="1:17" ht="16.5" x14ac:dyDescent="0.25">
      <c r="A71" s="257"/>
    </row>
    <row r="72" spans="1:17" ht="21" x14ac:dyDescent="0.25">
      <c r="A72" s="710" t="s">
        <v>280</v>
      </c>
      <c r="B72" s="709"/>
    </row>
  </sheetData>
  <mergeCells count="47">
    <mergeCell ref="A1:Q1"/>
    <mergeCell ref="A6:D6"/>
    <mergeCell ref="J6:K6"/>
    <mergeCell ref="A4:D4"/>
    <mergeCell ref="J4:K4"/>
    <mergeCell ref="A5:D5"/>
    <mergeCell ref="J5:K5"/>
    <mergeCell ref="A10:A12"/>
    <mergeCell ref="B10:B12"/>
    <mergeCell ref="C10:G12"/>
    <mergeCell ref="H10:H12"/>
    <mergeCell ref="I10:I12"/>
    <mergeCell ref="A7:D7"/>
    <mergeCell ref="J7:K7"/>
    <mergeCell ref="A8:H8"/>
    <mergeCell ref="J8:K8"/>
    <mergeCell ref="A9:I9"/>
    <mergeCell ref="C19:G19"/>
    <mergeCell ref="J10:J12"/>
    <mergeCell ref="K10:K12"/>
    <mergeCell ref="L10:L12"/>
    <mergeCell ref="M10:M12"/>
    <mergeCell ref="P10:P12"/>
    <mergeCell ref="Q10:Q12"/>
    <mergeCell ref="C13:G13"/>
    <mergeCell ref="C16:G16"/>
    <mergeCell ref="C17:G17"/>
    <mergeCell ref="N10:N12"/>
    <mergeCell ref="O10:O12"/>
    <mergeCell ref="C61:G61"/>
    <mergeCell ref="C52:G52"/>
    <mergeCell ref="C22:G22"/>
    <mergeCell ref="C23:G23"/>
    <mergeCell ref="C24:G24"/>
    <mergeCell ref="C25:G25"/>
    <mergeCell ref="C26:G26"/>
    <mergeCell ref="C27:G27"/>
    <mergeCell ref="C28:G28"/>
    <mergeCell ref="C31:G31"/>
    <mergeCell ref="C35:G35"/>
    <mergeCell ref="C53:G53"/>
    <mergeCell ref="B70:Q70"/>
    <mergeCell ref="C64:G64"/>
    <mergeCell ref="C65:G65"/>
    <mergeCell ref="C66:G66"/>
    <mergeCell ref="B68:Q68"/>
    <mergeCell ref="B69:Q69"/>
  </mergeCells>
  <hyperlinks>
    <hyperlink ref="A72" location="'0 Seznam'!A1" display="Seznam" xr:uid="{4F751480-CE93-4A34-902B-71FC74CA716B}"/>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A8B7-6628-4A87-85A9-C4E63D77179A}">
  <sheetPr>
    <tabColor rgb="FFFF0000"/>
  </sheetPr>
  <dimension ref="A1:G14"/>
  <sheetViews>
    <sheetView zoomScale="85" zoomScaleNormal="85" workbookViewId="0">
      <selection activeCell="C2" sqref="C2"/>
    </sheetView>
  </sheetViews>
  <sheetFormatPr defaultRowHeight="15" x14ac:dyDescent="0.25"/>
  <cols>
    <col min="2" max="2" width="39.140625" customWidth="1"/>
    <col min="3" max="6" width="18.28515625" customWidth="1"/>
  </cols>
  <sheetData>
    <row r="1" spans="1:7" ht="27.75" x14ac:dyDescent="0.25">
      <c r="A1" s="327" t="s">
        <v>333</v>
      </c>
    </row>
    <row r="3" spans="1:7" x14ac:dyDescent="0.25">
      <c r="B3" s="888" t="s">
        <v>328</v>
      </c>
      <c r="C3" s="889">
        <f>'1 Bilance'!O17</f>
        <v>3821738358</v>
      </c>
      <c r="D3" s="888" t="s">
        <v>34</v>
      </c>
    </row>
    <row r="4" spans="1:7" x14ac:dyDescent="0.25">
      <c r="B4" s="890" t="s">
        <v>322</v>
      </c>
      <c r="C4" s="891">
        <v>60000000</v>
      </c>
      <c r="D4" s="890" t="s">
        <v>34</v>
      </c>
    </row>
    <row r="5" spans="1:7" x14ac:dyDescent="0.25">
      <c r="B5" s="888" t="s">
        <v>330</v>
      </c>
      <c r="C5" s="889">
        <f>C3-C4</f>
        <v>3761738358</v>
      </c>
      <c r="D5" s="888" t="s">
        <v>34</v>
      </c>
    </row>
    <row r="6" spans="1:7" s="859" customFormat="1" ht="15.75" thickBot="1" x14ac:dyDescent="0.3">
      <c r="F6" s="42" t="s">
        <v>0</v>
      </c>
    </row>
    <row r="7" spans="1:7" s="859" customFormat="1" ht="102.75" customHeight="1" thickBot="1" x14ac:dyDescent="0.3">
      <c r="B7" s="897" t="s">
        <v>329</v>
      </c>
      <c r="C7" s="899" t="s">
        <v>331</v>
      </c>
      <c r="D7" s="895" t="s">
        <v>340</v>
      </c>
      <c r="E7" s="895" t="s">
        <v>341</v>
      </c>
      <c r="F7" s="896" t="s">
        <v>332</v>
      </c>
    </row>
    <row r="8" spans="1:7" x14ac:dyDescent="0.25">
      <c r="B8" s="912" t="s">
        <v>324</v>
      </c>
      <c r="C8" s="916">
        <v>3.2120509365028735E-2</v>
      </c>
      <c r="D8" s="917">
        <f>$C$5*C8</f>
        <v>120828952.15692681</v>
      </c>
      <c r="E8" s="918">
        <f>D8+C4</f>
        <v>180828952.15692681</v>
      </c>
      <c r="F8" s="919">
        <f>E8/$E$12</f>
        <v>4.7315890104930834E-2</v>
      </c>
      <c r="G8" s="906"/>
    </row>
    <row r="9" spans="1:7" x14ac:dyDescent="0.25">
      <c r="B9" s="913" t="s">
        <v>325</v>
      </c>
      <c r="C9" s="920">
        <v>1.3489709688494059E-2</v>
      </c>
      <c r="D9" s="921">
        <f t="shared" ref="D9:D11" si="0">$C$5*C9</f>
        <v>50744758.373492338</v>
      </c>
      <c r="E9" s="922">
        <f>D9</f>
        <v>50744758.373492338</v>
      </c>
      <c r="F9" s="923">
        <f t="shared" ref="F9:F11" si="1">E9/$E$12</f>
        <v>1.3277925807576264E-2</v>
      </c>
      <c r="G9" s="906"/>
    </row>
    <row r="10" spans="1:7" x14ac:dyDescent="0.25">
      <c r="B10" s="914" t="s">
        <v>326</v>
      </c>
      <c r="C10" s="920">
        <v>0.39654274925783739</v>
      </c>
      <c r="D10" s="921">
        <f t="shared" si="0"/>
        <v>1491690070.4699829</v>
      </c>
      <c r="E10" s="922">
        <f t="shared" ref="E10:E11" si="2">D10</f>
        <v>1491690070.4699829</v>
      </c>
      <c r="F10" s="923">
        <f t="shared" si="1"/>
        <v>0.3903171621750206</v>
      </c>
      <c r="G10" s="906"/>
    </row>
    <row r="11" spans="1:7" ht="15.75" thickBot="1" x14ac:dyDescent="0.3">
      <c r="B11" s="915" t="s">
        <v>327</v>
      </c>
      <c r="C11" s="924">
        <v>0.55784703168863981</v>
      </c>
      <c r="D11" s="925">
        <f t="shared" si="0"/>
        <v>2098474576.9995978</v>
      </c>
      <c r="E11" s="926">
        <f t="shared" si="2"/>
        <v>2098474576.9995978</v>
      </c>
      <c r="F11" s="927">
        <f t="shared" si="1"/>
        <v>0.54908902191247222</v>
      </c>
      <c r="G11" s="906"/>
    </row>
    <row r="12" spans="1:7" ht="15.75" thickBot="1" x14ac:dyDescent="0.3">
      <c r="B12" s="898" t="s">
        <v>323</v>
      </c>
      <c r="C12" s="928">
        <f>SUM(C8:C11)</f>
        <v>1</v>
      </c>
      <c r="D12" s="929">
        <f t="shared" ref="D12:F12" si="3">SUM(D8:D11)</f>
        <v>3761738358</v>
      </c>
      <c r="E12" s="930">
        <f t="shared" si="3"/>
        <v>3821738358</v>
      </c>
      <c r="F12" s="931">
        <f t="shared" si="3"/>
        <v>1</v>
      </c>
    </row>
    <row r="14" spans="1:7" x14ac:dyDescent="0.25">
      <c r="A14" s="710" t="s">
        <v>280</v>
      </c>
    </row>
  </sheetData>
  <hyperlinks>
    <hyperlink ref="A14" location="'0 Seznam'!A1" display="Seznam" xr:uid="{F1643AC2-B34A-4088-BD27-187F17925E41}"/>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9D08E"/>
  </sheetPr>
  <dimension ref="A1:R37"/>
  <sheetViews>
    <sheetView zoomScale="85" zoomScaleNormal="85" workbookViewId="0">
      <selection activeCell="C2" sqref="C2"/>
    </sheetView>
  </sheetViews>
  <sheetFormatPr defaultRowHeight="15" x14ac:dyDescent="0.25"/>
  <cols>
    <col min="1" max="1" width="10.5703125" style="43" customWidth="1"/>
    <col min="2" max="2" width="45.85546875" style="43" customWidth="1"/>
    <col min="3" max="8" width="11" style="43" customWidth="1"/>
    <col min="9" max="9" width="16.85546875" style="43" customWidth="1"/>
    <col min="10" max="16" width="11" style="43" customWidth="1"/>
    <col min="17" max="18" width="15.85546875" style="43" customWidth="1"/>
    <col min="19" max="16384" width="9.140625" style="43"/>
  </cols>
  <sheetData>
    <row r="1" spans="1:18" ht="27.75" x14ac:dyDescent="0.25">
      <c r="A1" s="327" t="s">
        <v>342</v>
      </c>
      <c r="B1" s="611"/>
      <c r="C1" s="611"/>
      <c r="D1" s="611"/>
      <c r="E1" s="611"/>
      <c r="F1" s="611"/>
      <c r="G1" s="611"/>
      <c r="H1" s="611"/>
      <c r="I1" s="611"/>
      <c r="J1" s="611"/>
      <c r="K1" s="611"/>
      <c r="L1" s="611"/>
      <c r="M1" s="611"/>
      <c r="N1" s="611"/>
      <c r="O1" s="611"/>
      <c r="P1" s="611"/>
      <c r="Q1" s="611"/>
      <c r="R1" s="611"/>
    </row>
    <row r="2" spans="1:18" ht="28.5" thickBot="1" x14ac:dyDescent="0.3">
      <c r="A2" s="327"/>
      <c r="B2" s="611"/>
      <c r="C2" s="611"/>
      <c r="D2" s="611"/>
      <c r="E2" s="611"/>
      <c r="F2" s="611"/>
      <c r="G2" s="611"/>
      <c r="H2" s="611"/>
      <c r="I2" s="611"/>
      <c r="J2" s="611"/>
      <c r="K2" s="611"/>
      <c r="L2" s="611"/>
      <c r="M2" s="611"/>
      <c r="N2" s="611"/>
      <c r="O2" s="611"/>
      <c r="P2" s="611"/>
      <c r="Q2" s="611"/>
    </row>
    <row r="3" spans="1:18" ht="15.75" customHeight="1" thickBot="1" x14ac:dyDescent="0.3">
      <c r="A3" s="1026" t="s">
        <v>282</v>
      </c>
      <c r="B3" s="1027"/>
      <c r="C3" s="328"/>
      <c r="D3" s="329"/>
      <c r="E3" s="714"/>
      <c r="F3" s="715">
        <v>0.2</v>
      </c>
      <c r="G3" s="716"/>
      <c r="H3" s="715">
        <v>0.1</v>
      </c>
      <c r="I3" s="716"/>
      <c r="J3" s="715">
        <v>0.1</v>
      </c>
      <c r="K3" s="716"/>
      <c r="L3" s="715">
        <v>0.5</v>
      </c>
      <c r="M3" s="717"/>
      <c r="N3" s="718">
        <v>3.5000000000000003E-2</v>
      </c>
      <c r="O3" s="717"/>
      <c r="P3" s="718">
        <v>6.5000000000000002E-2</v>
      </c>
      <c r="Q3" s="719">
        <f>SUM(F3:P3)</f>
        <v>1</v>
      </c>
      <c r="R3" s="720">
        <v>4.7315890104930834E-2</v>
      </c>
    </row>
    <row r="4" spans="1:18" ht="30" customHeight="1" x14ac:dyDescent="0.25">
      <c r="A4" s="1028" t="s">
        <v>2</v>
      </c>
      <c r="B4" s="1030" t="s">
        <v>3</v>
      </c>
      <c r="C4" s="1032" t="s">
        <v>117</v>
      </c>
      <c r="D4" s="1033"/>
      <c r="E4" s="1033"/>
      <c r="F4" s="1034"/>
      <c r="G4" s="1020" t="s">
        <v>118</v>
      </c>
      <c r="H4" s="1021"/>
      <c r="I4" s="1020" t="s">
        <v>119</v>
      </c>
      <c r="J4" s="1021"/>
      <c r="K4" s="1020" t="s">
        <v>120</v>
      </c>
      <c r="L4" s="1021"/>
      <c r="M4" s="1020" t="s">
        <v>171</v>
      </c>
      <c r="N4" s="1021"/>
      <c r="O4" s="1020" t="s">
        <v>121</v>
      </c>
      <c r="P4" s="1021"/>
      <c r="Q4" s="1022" t="s">
        <v>122</v>
      </c>
      <c r="R4" s="1022" t="s">
        <v>123</v>
      </c>
    </row>
    <row r="5" spans="1:18" ht="15.75" thickBot="1" x14ac:dyDescent="0.3">
      <c r="A5" s="1029"/>
      <c r="B5" s="1031"/>
      <c r="C5" s="330" t="s">
        <v>124</v>
      </c>
      <c r="D5" s="331" t="s">
        <v>125</v>
      </c>
      <c r="E5" s="332" t="s">
        <v>28</v>
      </c>
      <c r="F5" s="333" t="s">
        <v>126</v>
      </c>
      <c r="G5" s="334" t="s">
        <v>28</v>
      </c>
      <c r="H5" s="335" t="s">
        <v>126</v>
      </c>
      <c r="I5" s="334" t="s">
        <v>28</v>
      </c>
      <c r="J5" s="335" t="s">
        <v>126</v>
      </c>
      <c r="K5" s="334" t="s">
        <v>28</v>
      </c>
      <c r="L5" s="335" t="s">
        <v>126</v>
      </c>
      <c r="M5" s="334" t="s">
        <v>28</v>
      </c>
      <c r="N5" s="335" t="s">
        <v>126</v>
      </c>
      <c r="O5" s="334" t="s">
        <v>28</v>
      </c>
      <c r="P5" s="335" t="s">
        <v>126</v>
      </c>
      <c r="Q5" s="1023"/>
      <c r="R5" s="1023"/>
    </row>
    <row r="6" spans="1:18" x14ac:dyDescent="0.25">
      <c r="A6" s="336">
        <v>51000</v>
      </c>
      <c r="B6" s="337" t="s">
        <v>23</v>
      </c>
      <c r="C6" s="721"/>
      <c r="D6" s="722"/>
      <c r="E6" s="723"/>
      <c r="F6" s="724">
        <f>0.5*F12+0.3*F18+0.2*F24</f>
        <v>0.37744467475557464</v>
      </c>
      <c r="G6" s="721"/>
      <c r="H6" s="724">
        <f>H12</f>
        <v>0.4641122021419532</v>
      </c>
      <c r="I6" s="721"/>
      <c r="J6" s="725">
        <f>J12</f>
        <v>0.5588661263375958</v>
      </c>
      <c r="K6" s="721"/>
      <c r="L6" s="724">
        <f>L12</f>
        <v>0.41683865083027943</v>
      </c>
      <c r="M6" s="721"/>
      <c r="N6" s="725">
        <f>N12</f>
        <v>0.81554134369777875</v>
      </c>
      <c r="O6" s="721"/>
      <c r="P6" s="724">
        <f>0.5*P18+0.3*P24+0.2*P30</f>
        <v>0.43220040638381196</v>
      </c>
      <c r="Q6" s="726">
        <f t="array" ref="Q6">SUM($C$3:$P$3*C6:P6)</f>
        <v>0.44284306665857953</v>
      </c>
      <c r="R6" s="727">
        <f>Q6*$R$3</f>
        <v>2.0953513875747908E-2</v>
      </c>
    </row>
    <row r="7" spans="1:18" x14ac:dyDescent="0.25">
      <c r="A7" s="336">
        <v>52000</v>
      </c>
      <c r="B7" s="338" t="s">
        <v>24</v>
      </c>
      <c r="C7" s="722"/>
      <c r="D7" s="722"/>
      <c r="E7" s="722"/>
      <c r="F7" s="728">
        <f>0.5*F13+0.3*F19+0.2*F25</f>
        <v>0.10492577874023151</v>
      </c>
      <c r="G7" s="729"/>
      <c r="H7" s="728">
        <f>H13</f>
        <v>0.10041945560242237</v>
      </c>
      <c r="I7" s="729"/>
      <c r="J7" s="730">
        <f>J13</f>
        <v>0.16019397181823311</v>
      </c>
      <c r="K7" s="729"/>
      <c r="L7" s="728">
        <f>L13</f>
        <v>0.14440737254006392</v>
      </c>
      <c r="M7" s="729"/>
      <c r="N7" s="730">
        <f>N13</f>
        <v>0</v>
      </c>
      <c r="O7" s="729"/>
      <c r="P7" s="728">
        <f>0.5*P19+0.3*P25+0.2*P31</f>
        <v>7.3465096118182444E-2</v>
      </c>
      <c r="Q7" s="731">
        <f t="array" ref="Q7">SUM($C$3:$P$3*C7:P7)</f>
        <v>0.12402541600782568</v>
      </c>
      <c r="R7" s="732">
        <f>Q7*$R$3</f>
        <v>5.86837295404461E-3</v>
      </c>
    </row>
    <row r="8" spans="1:18" x14ac:dyDescent="0.25">
      <c r="A8" s="336">
        <v>53000</v>
      </c>
      <c r="B8" s="338" t="s">
        <v>25</v>
      </c>
      <c r="C8" s="722"/>
      <c r="D8" s="722"/>
      <c r="E8" s="722"/>
      <c r="F8" s="730">
        <f>0.5*F14+0.3*F20+0.2*F26</f>
        <v>0.26960282370921951</v>
      </c>
      <c r="G8" s="729"/>
      <c r="H8" s="728">
        <f>H14</f>
        <v>0.14851741538935856</v>
      </c>
      <c r="I8" s="729"/>
      <c r="J8" s="730">
        <f>J14</f>
        <v>0.15667558374054427</v>
      </c>
      <c r="K8" s="729"/>
      <c r="L8" s="728">
        <f>L14</f>
        <v>0.22593985268667385</v>
      </c>
      <c r="M8" s="729"/>
      <c r="N8" s="730">
        <f>N14</f>
        <v>0.18267294201650691</v>
      </c>
      <c r="O8" s="729"/>
      <c r="P8" s="728">
        <f>0.5*P20+0.3*P26+0.2*P32</f>
        <v>0.38490805760020247</v>
      </c>
      <c r="Q8" s="732">
        <f t="array" ref="Q8">SUM($C$3:$P$3*C8:P8)</f>
        <v>0.22882236771276204</v>
      </c>
      <c r="R8" s="732">
        <f>Q8*$R$3</f>
        <v>1.0826934004247122E-2</v>
      </c>
    </row>
    <row r="9" spans="1:18" ht="15" customHeight="1" thickBot="1" x14ac:dyDescent="0.3">
      <c r="A9" s="339">
        <v>54000</v>
      </c>
      <c r="B9" s="340" t="s">
        <v>347</v>
      </c>
      <c r="C9" s="733"/>
      <c r="D9" s="722"/>
      <c r="E9" s="734"/>
      <c r="F9" s="735">
        <f>0.5*F15+0.3*F21+0.2*F27</f>
        <v>0.24802672279497431</v>
      </c>
      <c r="G9" s="729"/>
      <c r="H9" s="728">
        <f>H15</f>
        <v>0.28695092686626589</v>
      </c>
      <c r="I9" s="729"/>
      <c r="J9" s="730">
        <f>J15</f>
        <v>0.12426431810362665</v>
      </c>
      <c r="K9" s="729"/>
      <c r="L9" s="728">
        <f>L15</f>
        <v>0.21281412394298271</v>
      </c>
      <c r="M9" s="729"/>
      <c r="N9" s="730">
        <f>N15</f>
        <v>1.7857142857142854E-3</v>
      </c>
      <c r="O9" s="729"/>
      <c r="P9" s="728">
        <f>0.5*P21+0.3*P27+0.2*P33</f>
        <v>0.10942643989780318</v>
      </c>
      <c r="Q9" s="731">
        <f t="array" ref="Q9">SUM($C$3:$P$3*C9:P9)</f>
        <v>0.20430914962083269</v>
      </c>
      <c r="R9" s="732">
        <f>Q9*$R$3</f>
        <v>9.66706927089119E-3</v>
      </c>
    </row>
    <row r="10" spans="1:18" ht="15.75" thickBot="1" x14ac:dyDescent="0.3">
      <c r="A10" s="1024" t="s">
        <v>127</v>
      </c>
      <c r="B10" s="1025"/>
      <c r="C10" s="736"/>
      <c r="D10" s="736"/>
      <c r="E10" s="736"/>
      <c r="F10" s="737">
        <f>SUM(F6:F9)</f>
        <v>0.99999999999999989</v>
      </c>
      <c r="G10" s="738"/>
      <c r="H10" s="739">
        <f>SUM(H6:H9)</f>
        <v>1</v>
      </c>
      <c r="I10" s="738"/>
      <c r="J10" s="737">
        <f>SUM(J6:J9)</f>
        <v>0.99999999999999978</v>
      </c>
      <c r="K10" s="738"/>
      <c r="L10" s="739">
        <f>SUM(L6:L9)</f>
        <v>0.99999999999999989</v>
      </c>
      <c r="M10" s="738"/>
      <c r="N10" s="737">
        <f>SUM(N6:N9)</f>
        <v>1</v>
      </c>
      <c r="O10" s="738"/>
      <c r="P10" s="739">
        <f>SUM(P6:P9)</f>
        <v>1</v>
      </c>
      <c r="Q10" s="740">
        <f>SUM(Q6:Q9)</f>
        <v>1</v>
      </c>
      <c r="R10" s="741">
        <f>SUM(R6:R9)</f>
        <v>4.7315890104930834E-2</v>
      </c>
    </row>
    <row r="11" spans="1:18" ht="15.75" thickBot="1" x14ac:dyDescent="0.3">
      <c r="A11" s="611"/>
      <c r="B11" s="611"/>
      <c r="C11" s="742"/>
      <c r="D11" s="742"/>
      <c r="E11" s="742"/>
      <c r="F11" s="742"/>
      <c r="G11" s="742"/>
      <c r="H11" s="742"/>
      <c r="I11" s="742"/>
      <c r="J11" s="742"/>
      <c r="K11" s="742"/>
      <c r="L11" s="742"/>
      <c r="M11" s="742"/>
      <c r="N11" s="742"/>
      <c r="O11" s="742"/>
      <c r="P11" s="742"/>
      <c r="Q11" s="742"/>
      <c r="R11" s="742"/>
    </row>
    <row r="12" spans="1:18" x14ac:dyDescent="0.25">
      <c r="A12" s="341">
        <v>51000</v>
      </c>
      <c r="B12" s="337" t="s">
        <v>23</v>
      </c>
      <c r="C12" s="743">
        <v>6443</v>
      </c>
      <c r="D12" s="743">
        <v>7509</v>
      </c>
      <c r="E12" s="743">
        <f>SUM(D12,C12)</f>
        <v>13952</v>
      </c>
      <c r="F12" s="724">
        <f>E12/$E$16</f>
        <v>0.37604441809066896</v>
      </c>
      <c r="G12" s="744">
        <v>1260.8727130486591</v>
      </c>
      <c r="H12" s="724">
        <f>G12/$G$16</f>
        <v>0.4641122021419532</v>
      </c>
      <c r="I12" s="744"/>
      <c r="J12" s="725">
        <v>0.5588661263375958</v>
      </c>
      <c r="K12" s="744">
        <v>125104.515</v>
      </c>
      <c r="L12" s="724">
        <f>K12/$K$16</f>
        <v>0.41683865083027943</v>
      </c>
      <c r="M12" s="744"/>
      <c r="N12" s="724">
        <v>0.81554134369777875</v>
      </c>
      <c r="O12" s="742"/>
      <c r="P12" s="742"/>
      <c r="Q12" s="742"/>
      <c r="R12" s="742"/>
    </row>
    <row r="13" spans="1:18" x14ac:dyDescent="0.25">
      <c r="A13" s="336">
        <v>52000</v>
      </c>
      <c r="B13" s="338" t="s">
        <v>24</v>
      </c>
      <c r="C13" s="745">
        <v>701</v>
      </c>
      <c r="D13" s="745">
        <v>1166</v>
      </c>
      <c r="E13" s="745">
        <f>SUM(D13,C13)</f>
        <v>1867</v>
      </c>
      <c r="F13" s="728">
        <f>E13/$E$16</f>
        <v>5.0320737426553824E-2</v>
      </c>
      <c r="G13" s="746">
        <v>272.81366627281409</v>
      </c>
      <c r="H13" s="728">
        <f>G13/$G$16</f>
        <v>0.10041945560242237</v>
      </c>
      <c r="I13" s="746"/>
      <c r="J13" s="730">
        <v>0.16019397181823311</v>
      </c>
      <c r="K13" s="746">
        <v>43340.544999999998</v>
      </c>
      <c r="L13" s="728">
        <f>K13/$K$16</f>
        <v>0.14440737254006392</v>
      </c>
      <c r="M13" s="746"/>
      <c r="N13" s="728">
        <v>0</v>
      </c>
      <c r="O13" s="742"/>
      <c r="P13" s="742"/>
      <c r="Q13" s="742"/>
      <c r="R13" s="742"/>
    </row>
    <row r="14" spans="1:18" x14ac:dyDescent="0.25">
      <c r="A14" s="336">
        <v>53000</v>
      </c>
      <c r="B14" s="338" t="s">
        <v>25</v>
      </c>
      <c r="C14" s="745">
        <v>4056</v>
      </c>
      <c r="D14" s="745">
        <v>5897</v>
      </c>
      <c r="E14" s="745">
        <f>SUM(D14,C14)</f>
        <v>9953</v>
      </c>
      <c r="F14" s="730">
        <f>E14/$E$16</f>
        <v>0.26826047113363161</v>
      </c>
      <c r="G14" s="746">
        <v>403.48337236709722</v>
      </c>
      <c r="H14" s="728">
        <f>G14/$G$16</f>
        <v>0.14851741538935856</v>
      </c>
      <c r="I14" s="746"/>
      <c r="J14" s="730">
        <v>0.15667558374054427</v>
      </c>
      <c r="K14" s="746">
        <v>67810.64</v>
      </c>
      <c r="L14" s="728">
        <f>K14/$K$16</f>
        <v>0.22593985268667385</v>
      </c>
      <c r="M14" s="746"/>
      <c r="N14" s="728">
        <v>0.18267294201650691</v>
      </c>
      <c r="O14" s="742"/>
      <c r="P14" s="742"/>
      <c r="Q14" s="742"/>
      <c r="R14" s="742"/>
    </row>
    <row r="15" spans="1:18" ht="15" customHeight="1" thickBot="1" x14ac:dyDescent="0.3">
      <c r="A15" s="339">
        <v>54000</v>
      </c>
      <c r="B15" s="340" t="s">
        <v>347</v>
      </c>
      <c r="C15" s="747">
        <v>5158</v>
      </c>
      <c r="D15" s="745">
        <v>6172</v>
      </c>
      <c r="E15" s="747">
        <f>SUM(D15,C15)</f>
        <v>11330</v>
      </c>
      <c r="F15" s="735">
        <f>E15/$E$16</f>
        <v>0.30537437334914558</v>
      </c>
      <c r="G15" s="746">
        <v>779.57138812530798</v>
      </c>
      <c r="H15" s="728">
        <f>G15/$G$16</f>
        <v>0.28695092686626589</v>
      </c>
      <c r="I15" s="746"/>
      <c r="J15" s="730">
        <v>0.12426431810362665</v>
      </c>
      <c r="K15" s="746">
        <v>63871.254999999997</v>
      </c>
      <c r="L15" s="728">
        <f>K15/$K$16</f>
        <v>0.21281412394298271</v>
      </c>
      <c r="M15" s="746"/>
      <c r="N15" s="728">
        <v>1.7857142857142854E-3</v>
      </c>
      <c r="O15" s="742"/>
      <c r="P15" s="742"/>
      <c r="Q15" s="742"/>
      <c r="R15" s="742"/>
    </row>
    <row r="16" spans="1:18" ht="15.75" thickBot="1" x14ac:dyDescent="0.3">
      <c r="A16" s="342">
        <v>2021</v>
      </c>
      <c r="B16" s="343" t="s">
        <v>127</v>
      </c>
      <c r="C16" s="748">
        <f t="shared" ref="C16:H16" si="0">SUM(C12:C15)</f>
        <v>16358</v>
      </c>
      <c r="D16" s="748">
        <f t="shared" si="0"/>
        <v>20744</v>
      </c>
      <c r="E16" s="748">
        <f t="shared" si="0"/>
        <v>37102</v>
      </c>
      <c r="F16" s="737">
        <f t="shared" si="0"/>
        <v>1</v>
      </c>
      <c r="G16" s="749">
        <f t="shared" si="0"/>
        <v>2716.7411398138784</v>
      </c>
      <c r="H16" s="739">
        <f t="shared" si="0"/>
        <v>1</v>
      </c>
      <c r="I16" s="749"/>
      <c r="J16" s="737">
        <f>SUM(J12:J15)</f>
        <v>0.99999999999999978</v>
      </c>
      <c r="K16" s="749">
        <f>SUM(K12:K15)</f>
        <v>300126.95500000002</v>
      </c>
      <c r="L16" s="739">
        <f>SUM(L12:L15)</f>
        <v>0.99999999999999989</v>
      </c>
      <c r="M16" s="749"/>
      <c r="N16" s="739">
        <f>SUM(N12:N15)</f>
        <v>1</v>
      </c>
      <c r="O16" s="742"/>
      <c r="P16" s="742"/>
      <c r="Q16" s="742"/>
      <c r="R16" s="742"/>
    </row>
    <row r="17" spans="1:18" ht="15.75" thickBot="1" x14ac:dyDescent="0.3">
      <c r="A17" s="611"/>
      <c r="B17" s="611"/>
      <c r="C17" s="742"/>
      <c r="D17" s="742"/>
      <c r="E17" s="742"/>
      <c r="F17" s="742"/>
      <c r="G17" s="742"/>
      <c r="H17" s="742"/>
      <c r="I17" s="742"/>
      <c r="J17" s="742"/>
      <c r="K17" s="742"/>
      <c r="L17" s="742"/>
      <c r="M17" s="742"/>
      <c r="N17" s="742"/>
      <c r="O17" s="742"/>
      <c r="P17" s="742"/>
      <c r="Q17" s="742"/>
      <c r="R17" s="742"/>
    </row>
    <row r="18" spans="1:18" x14ac:dyDescent="0.25">
      <c r="A18" s="341">
        <v>51000</v>
      </c>
      <c r="B18" s="337" t="s">
        <v>23</v>
      </c>
      <c r="C18" s="744">
        <v>10178</v>
      </c>
      <c r="D18" s="743">
        <v>10294</v>
      </c>
      <c r="E18" s="743">
        <f>C18+D18</f>
        <v>20472</v>
      </c>
      <c r="F18" s="724">
        <f>E18/$E$22</f>
        <v>0.3332410919212801</v>
      </c>
      <c r="G18" s="750"/>
      <c r="H18" s="751"/>
      <c r="I18" s="750"/>
      <c r="J18" s="751"/>
      <c r="K18" s="750"/>
      <c r="L18" s="751"/>
      <c r="M18" s="742"/>
      <c r="N18" s="742"/>
      <c r="O18" s="744">
        <v>18023.29852</v>
      </c>
      <c r="P18" s="724">
        <f>O18/$O$22</f>
        <v>0.42911052825868617</v>
      </c>
      <c r="Q18" s="742"/>
      <c r="R18" s="742"/>
    </row>
    <row r="19" spans="1:18" x14ac:dyDescent="0.25">
      <c r="A19" s="336">
        <v>52000</v>
      </c>
      <c r="B19" s="338" t="s">
        <v>24</v>
      </c>
      <c r="C19" s="746">
        <v>4826</v>
      </c>
      <c r="D19" s="745">
        <v>6991</v>
      </c>
      <c r="E19" s="745">
        <f>C19+D19</f>
        <v>11817</v>
      </c>
      <c r="F19" s="728">
        <f>E19/$E$22</f>
        <v>0.19235589992349389</v>
      </c>
      <c r="G19" s="750"/>
      <c r="H19" s="751"/>
      <c r="I19" s="750"/>
      <c r="J19" s="751"/>
      <c r="K19" s="750"/>
      <c r="L19" s="751"/>
      <c r="M19" s="742"/>
      <c r="N19" s="742"/>
      <c r="O19" s="746">
        <v>2088</v>
      </c>
      <c r="P19" s="728">
        <f>O19/$O$22</f>
        <v>4.9712475327969921E-2</v>
      </c>
      <c r="Q19" s="742"/>
      <c r="R19" s="742"/>
    </row>
    <row r="20" spans="1:18" x14ac:dyDescent="0.25">
      <c r="A20" s="336">
        <v>53000</v>
      </c>
      <c r="B20" s="338" t="s">
        <v>25</v>
      </c>
      <c r="C20" s="746">
        <v>5804</v>
      </c>
      <c r="D20" s="745">
        <v>10896</v>
      </c>
      <c r="E20" s="745">
        <f>C20+D20</f>
        <v>16700</v>
      </c>
      <c r="F20" s="728">
        <f>E20/$E$22</f>
        <v>0.2718408672863119</v>
      </c>
      <c r="G20" s="750"/>
      <c r="H20" s="751"/>
      <c r="I20" s="750"/>
      <c r="J20" s="751"/>
      <c r="K20" s="750"/>
      <c r="L20" s="751"/>
      <c r="M20" s="742"/>
      <c r="N20" s="742"/>
      <c r="O20" s="746">
        <v>17892</v>
      </c>
      <c r="P20" s="728">
        <f>O20/$O$22</f>
        <v>0.42598448686208706</v>
      </c>
      <c r="Q20" s="742"/>
      <c r="R20" s="742"/>
    </row>
    <row r="21" spans="1:18" ht="15" customHeight="1" thickBot="1" x14ac:dyDescent="0.3">
      <c r="A21" s="339">
        <v>54000</v>
      </c>
      <c r="B21" s="340" t="s">
        <v>347</v>
      </c>
      <c r="C21" s="752">
        <v>6593</v>
      </c>
      <c r="D21" s="745">
        <v>5851</v>
      </c>
      <c r="E21" s="747">
        <f>C21+D21</f>
        <v>12444</v>
      </c>
      <c r="F21" s="735">
        <f>E21/$E$22</f>
        <v>0.20256214086891411</v>
      </c>
      <c r="G21" s="750"/>
      <c r="H21" s="751"/>
      <c r="I21" s="750"/>
      <c r="J21" s="751"/>
      <c r="K21" s="750"/>
      <c r="L21" s="751"/>
      <c r="M21" s="742"/>
      <c r="N21" s="742"/>
      <c r="O21" s="746">
        <v>3998.2309999999998</v>
      </c>
      <c r="P21" s="728">
        <f>O21/$O$22</f>
        <v>9.5192509551256937E-2</v>
      </c>
      <c r="Q21" s="742"/>
      <c r="R21" s="742"/>
    </row>
    <row r="22" spans="1:18" ht="15.75" thickBot="1" x14ac:dyDescent="0.3">
      <c r="A22" s="342">
        <v>2020</v>
      </c>
      <c r="B22" s="343" t="s">
        <v>127</v>
      </c>
      <c r="C22" s="749">
        <f>SUM(C18:C21)</f>
        <v>27401</v>
      </c>
      <c r="D22" s="748">
        <f>SUM(D18:D21)</f>
        <v>34032</v>
      </c>
      <c r="E22" s="748">
        <f>SUM(E18:E21)</f>
        <v>61433</v>
      </c>
      <c r="F22" s="739">
        <f>SUM(F18:F21)</f>
        <v>1</v>
      </c>
      <c r="G22" s="753"/>
      <c r="H22" s="754"/>
      <c r="I22" s="753"/>
      <c r="J22" s="754"/>
      <c r="K22" s="753"/>
      <c r="L22" s="754"/>
      <c r="M22" s="742"/>
      <c r="N22" s="742"/>
      <c r="O22" s="749">
        <f>SUM(O18:O21)</f>
        <v>42001.529519999996</v>
      </c>
      <c r="P22" s="739">
        <f>SUM(P18:P21)</f>
        <v>1</v>
      </c>
      <c r="Q22" s="742"/>
      <c r="R22" s="742"/>
    </row>
    <row r="23" spans="1:18" ht="15.75" thickBot="1" x14ac:dyDescent="0.3">
      <c r="A23" s="611"/>
      <c r="B23" s="611"/>
      <c r="C23" s="742"/>
      <c r="D23" s="742"/>
      <c r="E23" s="742"/>
      <c r="F23" s="742"/>
      <c r="G23" s="742"/>
      <c r="H23" s="742"/>
      <c r="I23" s="742"/>
      <c r="J23" s="755"/>
      <c r="K23" s="742"/>
      <c r="L23" s="742"/>
      <c r="M23" s="742"/>
      <c r="N23" s="742"/>
      <c r="O23" s="742"/>
      <c r="P23" s="742"/>
      <c r="Q23" s="742"/>
      <c r="R23" s="742"/>
    </row>
    <row r="24" spans="1:18" x14ac:dyDescent="0.25">
      <c r="A24" s="341">
        <v>51000</v>
      </c>
      <c r="B24" s="337" t="s">
        <v>23</v>
      </c>
      <c r="C24" s="744">
        <v>11789</v>
      </c>
      <c r="D24" s="743">
        <v>13304</v>
      </c>
      <c r="E24" s="743">
        <f>C24+D24</f>
        <v>25093</v>
      </c>
      <c r="F24" s="724">
        <f>E24/$E$28</f>
        <v>0.4472506906692808</v>
      </c>
      <c r="G24" s="756"/>
      <c r="H24" s="756"/>
      <c r="I24" s="756"/>
      <c r="J24" s="756"/>
      <c r="K24" s="756"/>
      <c r="L24" s="756"/>
      <c r="M24" s="742"/>
      <c r="N24" s="742"/>
      <c r="O24" s="744">
        <v>16105</v>
      </c>
      <c r="P24" s="724">
        <f>O24/$O$28</f>
        <v>0.46662457918677058</v>
      </c>
      <c r="Q24" s="742"/>
      <c r="R24" s="742"/>
    </row>
    <row r="25" spans="1:18" x14ac:dyDescent="0.25">
      <c r="A25" s="336">
        <v>52000</v>
      </c>
      <c r="B25" s="338" t="s">
        <v>24</v>
      </c>
      <c r="C25" s="746">
        <v>2070</v>
      </c>
      <c r="D25" s="745">
        <v>4118</v>
      </c>
      <c r="E25" s="745">
        <f>C25+D25</f>
        <v>6188</v>
      </c>
      <c r="F25" s="728">
        <f>E25/$E$28</f>
        <v>0.11029320024953213</v>
      </c>
      <c r="G25" s="756"/>
      <c r="H25" s="756"/>
      <c r="I25" s="756"/>
      <c r="J25" s="756"/>
      <c r="K25" s="756"/>
      <c r="L25" s="756"/>
      <c r="M25" s="742"/>
      <c r="N25" s="742"/>
      <c r="O25" s="746">
        <v>2753</v>
      </c>
      <c r="P25" s="728">
        <f>O25/$O$28</f>
        <v>7.976513297120022E-2</v>
      </c>
      <c r="Q25" s="742"/>
      <c r="R25" s="742"/>
    </row>
    <row r="26" spans="1:18" x14ac:dyDescent="0.25">
      <c r="A26" s="336">
        <v>53000</v>
      </c>
      <c r="B26" s="338" t="s">
        <v>25</v>
      </c>
      <c r="C26" s="746">
        <v>7051</v>
      </c>
      <c r="D26" s="745">
        <v>8075</v>
      </c>
      <c r="E26" s="745">
        <f>C26+D26</f>
        <v>15126</v>
      </c>
      <c r="F26" s="728">
        <f>E26/$E$28</f>
        <v>0.26960163978255058</v>
      </c>
      <c r="G26" s="756"/>
      <c r="H26" s="756"/>
      <c r="I26" s="756"/>
      <c r="J26" s="756"/>
      <c r="K26" s="756"/>
      <c r="L26" s="756"/>
      <c r="M26" s="742"/>
      <c r="N26" s="742"/>
      <c r="O26" s="746">
        <v>11149</v>
      </c>
      <c r="P26" s="728">
        <f>O26/$O$28</f>
        <v>0.32302995550160235</v>
      </c>
      <c r="Q26" s="742"/>
      <c r="R26" s="742"/>
    </row>
    <row r="27" spans="1:18" ht="15" customHeight="1" thickBot="1" x14ac:dyDescent="0.3">
      <c r="A27" s="339">
        <v>54000</v>
      </c>
      <c r="B27" s="340" t="s">
        <v>347</v>
      </c>
      <c r="C27" s="752">
        <v>5638</v>
      </c>
      <c r="D27" s="745">
        <v>4060</v>
      </c>
      <c r="E27" s="747">
        <f>C27+D27</f>
        <v>9698</v>
      </c>
      <c r="F27" s="735">
        <f>E27/$E$28</f>
        <v>0.17285446929863649</v>
      </c>
      <c r="G27" s="756"/>
      <c r="H27" s="756"/>
      <c r="I27" s="756"/>
      <c r="J27" s="756"/>
      <c r="K27" s="756"/>
      <c r="L27" s="756"/>
      <c r="M27" s="742"/>
      <c r="N27" s="742"/>
      <c r="O27" s="746">
        <v>4506.8269999999993</v>
      </c>
      <c r="P27" s="728">
        <f>O27/$O$28</f>
        <v>0.1305803323404269</v>
      </c>
      <c r="Q27" s="742"/>
      <c r="R27" s="742"/>
    </row>
    <row r="28" spans="1:18" ht="15.75" thickBot="1" x14ac:dyDescent="0.3">
      <c r="A28" s="342">
        <v>2019</v>
      </c>
      <c r="B28" s="343" t="s">
        <v>127</v>
      </c>
      <c r="C28" s="749">
        <f>SUM(C24:C27)</f>
        <v>26548</v>
      </c>
      <c r="D28" s="748">
        <f>SUM(D24:D27)</f>
        <v>29557</v>
      </c>
      <c r="E28" s="748">
        <f>SUM(E24:E27)</f>
        <v>56105</v>
      </c>
      <c r="F28" s="739">
        <f>SUM(F24:F27)</f>
        <v>1</v>
      </c>
      <c r="G28" s="756"/>
      <c r="H28" s="756"/>
      <c r="I28" s="750"/>
      <c r="J28" s="857"/>
      <c r="K28" s="857"/>
      <c r="L28" s="756"/>
      <c r="M28" s="742"/>
      <c r="N28" s="742"/>
      <c r="O28" s="749">
        <f>SUM(O24:O27)</f>
        <v>34513.826999999997</v>
      </c>
      <c r="P28" s="739">
        <f>SUM(P24:P27)</f>
        <v>1</v>
      </c>
      <c r="Q28" s="742"/>
      <c r="R28" s="742"/>
    </row>
    <row r="29" spans="1:18" ht="15.75" thickBot="1" x14ac:dyDescent="0.3">
      <c r="A29" s="611"/>
      <c r="B29" s="611"/>
      <c r="C29" s="742"/>
      <c r="D29" s="742"/>
      <c r="E29" s="742"/>
      <c r="F29" s="742"/>
      <c r="G29" s="756"/>
      <c r="H29" s="756"/>
      <c r="I29" s="756"/>
      <c r="J29" s="857"/>
      <c r="K29" s="857"/>
      <c r="L29" s="756"/>
      <c r="M29" s="742"/>
      <c r="N29" s="742"/>
      <c r="O29" s="742"/>
      <c r="P29" s="742"/>
      <c r="Q29" s="742"/>
      <c r="R29" s="742"/>
    </row>
    <row r="30" spans="1:18" x14ac:dyDescent="0.25">
      <c r="A30" s="341">
        <v>51000</v>
      </c>
      <c r="B30" s="337" t="s">
        <v>23</v>
      </c>
      <c r="C30" s="742"/>
      <c r="D30" s="742"/>
      <c r="E30" s="742"/>
      <c r="F30" s="742"/>
      <c r="G30" s="756"/>
      <c r="H30" s="756"/>
      <c r="I30" s="756"/>
      <c r="J30" s="857"/>
      <c r="K30" s="857"/>
      <c r="L30" s="756"/>
      <c r="M30" s="742"/>
      <c r="N30" s="742"/>
      <c r="O30" s="744">
        <v>11542</v>
      </c>
      <c r="P30" s="724">
        <f>O30/$O$34</f>
        <v>0.38828884249218859</v>
      </c>
      <c r="Q30" s="742"/>
      <c r="R30" s="742"/>
    </row>
    <row r="31" spans="1:18" x14ac:dyDescent="0.25">
      <c r="A31" s="336">
        <v>52000</v>
      </c>
      <c r="B31" s="338" t="s">
        <v>24</v>
      </c>
      <c r="C31" s="742"/>
      <c r="D31" s="742"/>
      <c r="E31" s="742"/>
      <c r="F31" s="742"/>
      <c r="G31" s="756"/>
      <c r="H31" s="756"/>
      <c r="I31" s="756"/>
      <c r="J31" s="857"/>
      <c r="K31" s="858"/>
      <c r="L31" s="756"/>
      <c r="M31" s="742"/>
      <c r="N31" s="742"/>
      <c r="O31" s="746">
        <v>3668</v>
      </c>
      <c r="P31" s="728">
        <f>O31/$O$34</f>
        <v>0.12339659281418713</v>
      </c>
      <c r="Q31" s="742"/>
      <c r="R31" s="742"/>
    </row>
    <row r="32" spans="1:18" x14ac:dyDescent="0.25">
      <c r="A32" s="336">
        <v>53000</v>
      </c>
      <c r="B32" s="338" t="s">
        <v>25</v>
      </c>
      <c r="C32" s="742"/>
      <c r="D32" s="742"/>
      <c r="E32" s="742"/>
      <c r="F32" s="742"/>
      <c r="G32" s="756"/>
      <c r="H32" s="756"/>
      <c r="I32" s="756"/>
      <c r="J32" s="857"/>
      <c r="K32" s="858"/>
      <c r="L32" s="756"/>
      <c r="M32" s="742"/>
      <c r="N32" s="742"/>
      <c r="O32" s="746">
        <v>11148</v>
      </c>
      <c r="P32" s="728">
        <f>O32/$O$34</f>
        <v>0.37503413759339099</v>
      </c>
      <c r="Q32" s="742"/>
      <c r="R32" s="742"/>
    </row>
    <row r="33" spans="1:18" ht="15" customHeight="1" thickBot="1" x14ac:dyDescent="0.3">
      <c r="A33" s="339">
        <v>54000</v>
      </c>
      <c r="B33" s="340" t="s">
        <v>347</v>
      </c>
      <c r="C33" s="742"/>
      <c r="D33" s="742"/>
      <c r="E33" s="742"/>
      <c r="F33" s="742"/>
      <c r="G33" s="756"/>
      <c r="H33" s="756"/>
      <c r="I33" s="756"/>
      <c r="J33" s="857"/>
      <c r="K33" s="858"/>
      <c r="L33" s="756"/>
      <c r="M33" s="742"/>
      <c r="N33" s="742"/>
      <c r="O33" s="746">
        <v>3367.2940000000008</v>
      </c>
      <c r="P33" s="728">
        <f>O33/$O$34</f>
        <v>0.11328042710023324</v>
      </c>
      <c r="Q33" s="742"/>
      <c r="R33" s="742"/>
    </row>
    <row r="34" spans="1:18" ht="15.75" thickBot="1" x14ac:dyDescent="0.3">
      <c r="A34" s="342">
        <v>2018</v>
      </c>
      <c r="B34" s="343" t="s">
        <v>127</v>
      </c>
      <c r="C34" s="742"/>
      <c r="D34" s="742"/>
      <c r="E34" s="742"/>
      <c r="F34" s="742"/>
      <c r="G34" s="756"/>
      <c r="H34" s="756"/>
      <c r="I34" s="756"/>
      <c r="J34" s="857"/>
      <c r="K34" s="858"/>
      <c r="L34" s="756"/>
      <c r="M34" s="742"/>
      <c r="N34" s="742"/>
      <c r="O34" s="749">
        <f>SUM(O30:O33)</f>
        <v>29725.294000000002</v>
      </c>
      <c r="P34" s="739">
        <f>SUM(P30:P33)</f>
        <v>1</v>
      </c>
      <c r="Q34" s="742"/>
      <c r="R34" s="742"/>
    </row>
    <row r="35" spans="1:18" x14ac:dyDescent="0.25">
      <c r="I35" s="345"/>
      <c r="J35" s="857"/>
      <c r="K35" s="857"/>
    </row>
    <row r="36" spans="1:18" x14ac:dyDescent="0.25">
      <c r="A36" s="710" t="s">
        <v>280</v>
      </c>
      <c r="J36" s="857"/>
      <c r="K36" s="857"/>
    </row>
    <row r="37" spans="1:18" x14ac:dyDescent="0.25">
      <c r="A37" s="41"/>
      <c r="J37" s="857"/>
      <c r="K37" s="857"/>
    </row>
  </sheetData>
  <mergeCells count="12">
    <mergeCell ref="G4:H4"/>
    <mergeCell ref="I4:J4"/>
    <mergeCell ref="A10:B10"/>
    <mergeCell ref="A3:B3"/>
    <mergeCell ref="A4:A5"/>
    <mergeCell ref="B4:B5"/>
    <mergeCell ref="C4:F4"/>
    <mergeCell ref="K4:L4"/>
    <mergeCell ref="M4:N4"/>
    <mergeCell ref="O4:P4"/>
    <mergeCell ref="Q4:Q5"/>
    <mergeCell ref="R4:R5"/>
  </mergeCells>
  <hyperlinks>
    <hyperlink ref="A36" location="'0 Seznam'!A1" display="Seznam" xr:uid="{87D77322-34EF-4561-9C6A-088FAD5BE130}"/>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66"/>
  </sheetPr>
  <dimension ref="A1:J22"/>
  <sheetViews>
    <sheetView zoomScale="85" zoomScaleNormal="85" workbookViewId="0">
      <selection activeCell="C2" sqref="C2"/>
    </sheetView>
  </sheetViews>
  <sheetFormatPr defaultRowHeight="15" x14ac:dyDescent="0.25"/>
  <cols>
    <col min="1" max="1" width="10.5703125" style="43" customWidth="1"/>
    <col min="2" max="2" width="61.5703125" style="43" bestFit="1" customWidth="1"/>
    <col min="3" max="8" width="11" style="43" customWidth="1"/>
    <col min="9" max="10" width="15.85546875" style="43" customWidth="1"/>
    <col min="11" max="16384" width="9.140625" style="43"/>
  </cols>
  <sheetData>
    <row r="1" spans="1:10" ht="27.75" x14ac:dyDescent="0.25">
      <c r="A1" s="327" t="s">
        <v>343</v>
      </c>
      <c r="B1" s="611"/>
      <c r="C1" s="611"/>
      <c r="D1" s="611"/>
      <c r="E1" s="611"/>
      <c r="F1" s="611"/>
      <c r="G1" s="611"/>
      <c r="H1" s="611"/>
      <c r="I1" s="611"/>
      <c r="J1" s="611"/>
    </row>
    <row r="2" spans="1:10" ht="15.75" thickBot="1" x14ac:dyDescent="0.3">
      <c r="A2" s="611"/>
      <c r="B2" s="611"/>
      <c r="C2" s="611"/>
      <c r="D2" s="611"/>
      <c r="E2" s="611"/>
      <c r="F2" s="611"/>
      <c r="G2" s="611"/>
      <c r="H2" s="611"/>
      <c r="I2" s="611"/>
    </row>
    <row r="3" spans="1:10" ht="15.75" customHeight="1" thickBot="1" x14ac:dyDescent="0.3">
      <c r="A3" s="1026" t="s">
        <v>282</v>
      </c>
      <c r="B3" s="1027"/>
      <c r="C3" s="328"/>
      <c r="D3" s="715">
        <v>0.4</v>
      </c>
      <c r="E3" s="716"/>
      <c r="F3" s="715">
        <v>0.2</v>
      </c>
      <c r="G3" s="716"/>
      <c r="H3" s="714">
        <v>0.4</v>
      </c>
      <c r="I3" s="777">
        <f>SUM(D3:H3)</f>
        <v>1</v>
      </c>
      <c r="J3" s="720">
        <v>1.3277925807576264E-2</v>
      </c>
    </row>
    <row r="4" spans="1:10" ht="30" customHeight="1" x14ac:dyDescent="0.25">
      <c r="A4" s="1028" t="s">
        <v>2</v>
      </c>
      <c r="B4" s="1030" t="s">
        <v>3</v>
      </c>
      <c r="C4" s="1020" t="s">
        <v>128</v>
      </c>
      <c r="D4" s="1021"/>
      <c r="E4" s="1020" t="s">
        <v>117</v>
      </c>
      <c r="F4" s="1021"/>
      <c r="G4" s="1020" t="s">
        <v>129</v>
      </c>
      <c r="H4" s="1037"/>
      <c r="I4" s="1022" t="s">
        <v>122</v>
      </c>
      <c r="J4" s="1022" t="s">
        <v>123</v>
      </c>
    </row>
    <row r="5" spans="1:10" ht="15.75" thickBot="1" x14ac:dyDescent="0.3">
      <c r="A5" s="1029"/>
      <c r="B5" s="1031"/>
      <c r="C5" s="334" t="s">
        <v>28</v>
      </c>
      <c r="D5" s="335" t="s">
        <v>126</v>
      </c>
      <c r="E5" s="346" t="s">
        <v>124</v>
      </c>
      <c r="F5" s="333" t="s">
        <v>126</v>
      </c>
      <c r="G5" s="334" t="s">
        <v>28</v>
      </c>
      <c r="H5" s="347" t="s">
        <v>126</v>
      </c>
      <c r="I5" s="1023"/>
      <c r="J5" s="1023"/>
    </row>
    <row r="6" spans="1:10" x14ac:dyDescent="0.25">
      <c r="A6" s="348">
        <v>55000</v>
      </c>
      <c r="B6" s="349" t="s">
        <v>26</v>
      </c>
      <c r="C6" s="757"/>
      <c r="D6" s="758">
        <f>D10</f>
        <v>0.53510111987457443</v>
      </c>
      <c r="E6" s="757"/>
      <c r="F6" s="758">
        <f>0.5*F10+0.3*F14+0.2*F18</f>
        <v>0.25144824904300417</v>
      </c>
      <c r="G6" s="757"/>
      <c r="H6" s="759">
        <f>H10</f>
        <v>0.52258508846618834</v>
      </c>
      <c r="I6" s="760">
        <f t="array" ref="I6">SUM($C$3:$H$3*C6:H6)</f>
        <v>0.473364133144906</v>
      </c>
      <c r="J6" s="760">
        <f>I6*$J$3</f>
        <v>6.2852938398657143E-3</v>
      </c>
    </row>
    <row r="7" spans="1:10" ht="15" customHeight="1" thickBot="1" x14ac:dyDescent="0.3">
      <c r="A7" s="350">
        <v>56000</v>
      </c>
      <c r="B7" s="351" t="s">
        <v>27</v>
      </c>
      <c r="C7" s="761"/>
      <c r="D7" s="762">
        <f>D11</f>
        <v>0.46489888012542557</v>
      </c>
      <c r="E7" s="763"/>
      <c r="F7" s="764">
        <f>0.5*F11+0.3*F15+0.2*F19</f>
        <v>0.74855175095699578</v>
      </c>
      <c r="G7" s="761"/>
      <c r="H7" s="765">
        <f>H11</f>
        <v>0.47741491153381166</v>
      </c>
      <c r="I7" s="766">
        <f t="array" ref="I7">SUM($C$3:$H$3*C7:H7)</f>
        <v>0.52663586685509411</v>
      </c>
      <c r="J7" s="766">
        <f>I7*$J$3</f>
        <v>6.9926319677105515E-3</v>
      </c>
    </row>
    <row r="8" spans="1:10" ht="15.75" thickBot="1" x14ac:dyDescent="0.3">
      <c r="A8" s="1035" t="s">
        <v>127</v>
      </c>
      <c r="B8" s="1036"/>
      <c r="C8" s="767"/>
      <c r="D8" s="768">
        <f>SUM(D6:D7)</f>
        <v>1</v>
      </c>
      <c r="E8" s="769"/>
      <c r="F8" s="770">
        <f>SUM(F6:F7)</f>
        <v>1</v>
      </c>
      <c r="G8" s="767"/>
      <c r="H8" s="770">
        <f>SUM(H6:H7)</f>
        <v>1</v>
      </c>
      <c r="I8" s="771">
        <f>SUM(I6:I7)</f>
        <v>1</v>
      </c>
      <c r="J8" s="771">
        <f>SUM(J6:J7)</f>
        <v>1.3277925807576266E-2</v>
      </c>
    </row>
    <row r="9" spans="1:10" ht="15.75" thickBot="1" x14ac:dyDescent="0.3">
      <c r="A9" s="611"/>
      <c r="B9" s="611"/>
      <c r="C9" s="772"/>
      <c r="D9" s="742"/>
      <c r="E9" s="772"/>
      <c r="F9" s="742"/>
      <c r="G9" s="772"/>
      <c r="H9" s="742"/>
      <c r="I9" s="742"/>
      <c r="J9" s="742"/>
    </row>
    <row r="10" spans="1:10" x14ac:dyDescent="0.25">
      <c r="A10" s="352">
        <v>55000</v>
      </c>
      <c r="B10" s="349" t="s">
        <v>26</v>
      </c>
      <c r="C10" s="757">
        <v>954.06371595330745</v>
      </c>
      <c r="D10" s="758">
        <f>C10/$C$12</f>
        <v>0.53510111987457443</v>
      </c>
      <c r="E10" s="757">
        <v>1229</v>
      </c>
      <c r="F10" s="758">
        <f>E10/$E$12</f>
        <v>0.18283249033025886</v>
      </c>
      <c r="G10" s="757">
        <v>481.57495029538751</v>
      </c>
      <c r="H10" s="758">
        <f>G10/$G$12</f>
        <v>0.52258508846618834</v>
      </c>
      <c r="I10" s="742"/>
      <c r="J10" s="742"/>
    </row>
    <row r="11" spans="1:10" ht="15" customHeight="1" thickBot="1" x14ac:dyDescent="0.3">
      <c r="A11" s="350">
        <v>56000</v>
      </c>
      <c r="B11" s="351" t="s">
        <v>27</v>
      </c>
      <c r="C11" s="761">
        <v>828.89595375722536</v>
      </c>
      <c r="D11" s="762">
        <f>C11/$C$12</f>
        <v>0.46489888012542557</v>
      </c>
      <c r="E11" s="763">
        <v>5493</v>
      </c>
      <c r="F11" s="764">
        <f>E11/$E$12</f>
        <v>0.81716750966974117</v>
      </c>
      <c r="G11" s="761">
        <v>439.94952662536139</v>
      </c>
      <c r="H11" s="762">
        <f>G11/$G$12</f>
        <v>0.47741491153381166</v>
      </c>
      <c r="I11" s="742"/>
      <c r="J11" s="742"/>
    </row>
    <row r="12" spans="1:10" ht="15.75" thickBot="1" x14ac:dyDescent="0.3">
      <c r="A12" s="353">
        <v>2021</v>
      </c>
      <c r="B12" s="354" t="s">
        <v>127</v>
      </c>
      <c r="C12" s="767">
        <f t="shared" ref="C12:H12" si="0">SUM(C10:C11)</f>
        <v>1782.9596697105328</v>
      </c>
      <c r="D12" s="768">
        <f t="shared" si="0"/>
        <v>1</v>
      </c>
      <c r="E12" s="769">
        <f t="shared" si="0"/>
        <v>6722</v>
      </c>
      <c r="F12" s="770">
        <f t="shared" si="0"/>
        <v>1</v>
      </c>
      <c r="G12" s="767">
        <f t="shared" si="0"/>
        <v>921.52447692074884</v>
      </c>
      <c r="H12" s="768">
        <f t="shared" si="0"/>
        <v>1</v>
      </c>
      <c r="I12" s="742"/>
      <c r="J12" s="742"/>
    </row>
    <row r="13" spans="1:10" ht="15.75" thickBot="1" x14ac:dyDescent="0.3">
      <c r="A13" s="611"/>
      <c r="B13" s="611"/>
      <c r="C13" s="772"/>
      <c r="D13" s="742"/>
      <c r="E13" s="772"/>
      <c r="F13" s="742"/>
      <c r="G13" s="772"/>
      <c r="H13" s="742"/>
      <c r="I13" s="742"/>
      <c r="J13" s="742"/>
    </row>
    <row r="14" spans="1:10" x14ac:dyDescent="0.25">
      <c r="A14" s="352">
        <v>55000</v>
      </c>
      <c r="B14" s="349" t="s">
        <v>26</v>
      </c>
      <c r="C14" s="742"/>
      <c r="D14" s="755"/>
      <c r="E14" s="757">
        <v>2323</v>
      </c>
      <c r="F14" s="758">
        <f>E14/$E$16</f>
        <v>0.34614811503501713</v>
      </c>
      <c r="G14" s="755"/>
      <c r="H14" s="755"/>
      <c r="I14" s="742"/>
      <c r="J14" s="742"/>
    </row>
    <row r="15" spans="1:10" ht="15" customHeight="1" thickBot="1" x14ac:dyDescent="0.3">
      <c r="A15" s="350">
        <v>56000</v>
      </c>
      <c r="B15" s="351" t="s">
        <v>27</v>
      </c>
      <c r="C15" s="773"/>
      <c r="D15" s="751"/>
      <c r="E15" s="763">
        <v>4388</v>
      </c>
      <c r="F15" s="764">
        <f>E15/$E$16</f>
        <v>0.65385188496498281</v>
      </c>
      <c r="G15" s="756"/>
      <c r="H15" s="751"/>
      <c r="I15" s="742"/>
      <c r="J15" s="742"/>
    </row>
    <row r="16" spans="1:10" ht="15.75" thickBot="1" x14ac:dyDescent="0.3">
      <c r="A16" s="353">
        <v>2020</v>
      </c>
      <c r="B16" s="354" t="s">
        <v>127</v>
      </c>
      <c r="C16" s="773"/>
      <c r="D16" s="751"/>
      <c r="E16" s="767">
        <f>SUM(E14:E15)</f>
        <v>6711</v>
      </c>
      <c r="F16" s="768">
        <f>SUM(F14:F15)</f>
        <v>1</v>
      </c>
      <c r="G16" s="756"/>
      <c r="H16" s="751"/>
      <c r="I16" s="742"/>
      <c r="J16" s="742"/>
    </row>
    <row r="17" spans="1:10" ht="15.75" thickBot="1" x14ac:dyDescent="0.3">
      <c r="A17" s="611"/>
      <c r="B17" s="611"/>
      <c r="C17" s="774"/>
      <c r="D17" s="754"/>
      <c r="E17" s="775"/>
      <c r="F17" s="755"/>
      <c r="G17" s="776"/>
      <c r="H17" s="754"/>
      <c r="I17" s="742"/>
      <c r="J17" s="742"/>
    </row>
    <row r="18" spans="1:10" x14ac:dyDescent="0.25">
      <c r="A18" s="352">
        <v>55000</v>
      </c>
      <c r="B18" s="349" t="s">
        <v>26</v>
      </c>
      <c r="C18" s="756"/>
      <c r="D18" s="756"/>
      <c r="E18" s="757">
        <v>2025</v>
      </c>
      <c r="F18" s="758">
        <f>E18/$E$20</f>
        <v>0.28093784683684797</v>
      </c>
      <c r="G18" s="756"/>
      <c r="H18" s="756"/>
      <c r="I18" s="742"/>
      <c r="J18" s="742"/>
    </row>
    <row r="19" spans="1:10" ht="15" customHeight="1" thickBot="1" x14ac:dyDescent="0.3">
      <c r="A19" s="350">
        <v>56000</v>
      </c>
      <c r="B19" s="351" t="s">
        <v>27</v>
      </c>
      <c r="C19" s="742"/>
      <c r="D19" s="742"/>
      <c r="E19" s="763">
        <v>5183</v>
      </c>
      <c r="F19" s="764">
        <f>E19/$E$20</f>
        <v>0.71906215316315203</v>
      </c>
      <c r="G19" s="755"/>
      <c r="H19" s="755"/>
      <c r="I19" s="742"/>
      <c r="J19" s="742"/>
    </row>
    <row r="20" spans="1:10" ht="15.75" thickBot="1" x14ac:dyDescent="0.3">
      <c r="A20" s="353">
        <v>2019</v>
      </c>
      <c r="B20" s="354" t="s">
        <v>127</v>
      </c>
      <c r="C20" s="742"/>
      <c r="D20" s="742"/>
      <c r="E20" s="767">
        <f>SUM(E18:E19)</f>
        <v>7208</v>
      </c>
      <c r="F20" s="768">
        <f>SUM(F18:F19)</f>
        <v>1</v>
      </c>
      <c r="G20" s="755"/>
      <c r="H20" s="755"/>
      <c r="I20" s="742"/>
      <c r="J20" s="742"/>
    </row>
    <row r="21" spans="1:10" x14ac:dyDescent="0.25">
      <c r="E21" s="12"/>
    </row>
    <row r="22" spans="1:10" x14ac:dyDescent="0.25">
      <c r="A22" s="710" t="s">
        <v>280</v>
      </c>
    </row>
  </sheetData>
  <mergeCells count="9">
    <mergeCell ref="I4:I5"/>
    <mergeCell ref="J4:J5"/>
    <mergeCell ref="A8:B8"/>
    <mergeCell ref="A3:B3"/>
    <mergeCell ref="A4:A5"/>
    <mergeCell ref="B4:B5"/>
    <mergeCell ref="C4:D4"/>
    <mergeCell ref="E4:F4"/>
    <mergeCell ref="G4:H4"/>
  </mergeCells>
  <hyperlinks>
    <hyperlink ref="A22" location="'0 Seznam'!A1" display="Seznam" xr:uid="{A4AD7EA4-0C3C-410A-A1FB-CAAE41A0B074}"/>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4B084"/>
  </sheetPr>
  <dimension ref="A1:W91"/>
  <sheetViews>
    <sheetView zoomScale="85" zoomScaleNormal="85" workbookViewId="0">
      <selection activeCell="C2" sqref="C2"/>
    </sheetView>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3" ht="27.75" x14ac:dyDescent="0.25">
      <c r="A1" s="327" t="s">
        <v>344</v>
      </c>
      <c r="B1" s="611"/>
      <c r="C1" s="611"/>
      <c r="D1" s="611"/>
      <c r="E1" s="611"/>
      <c r="F1" s="611"/>
      <c r="G1" s="611"/>
      <c r="H1" s="611"/>
      <c r="I1" s="611"/>
      <c r="J1" s="611"/>
      <c r="K1" s="611"/>
      <c r="L1" s="611"/>
      <c r="M1" s="611"/>
      <c r="N1" s="611"/>
      <c r="O1" s="611"/>
      <c r="P1" s="611"/>
      <c r="Q1" s="611"/>
      <c r="R1" s="611"/>
      <c r="S1" s="611"/>
      <c r="T1" s="611"/>
      <c r="U1" s="611"/>
      <c r="V1" s="611"/>
    </row>
    <row r="2" spans="1:23" ht="15.75" thickBot="1" x14ac:dyDescent="0.3">
      <c r="A2" s="611"/>
      <c r="B2" s="611"/>
      <c r="C2" s="611"/>
      <c r="D2" s="611"/>
      <c r="E2" s="611"/>
      <c r="F2" s="611"/>
      <c r="G2" s="611"/>
      <c r="H2" s="611"/>
      <c r="I2" s="611"/>
      <c r="J2" s="611"/>
      <c r="K2" s="611"/>
      <c r="L2" s="611"/>
      <c r="M2" s="611"/>
      <c r="N2" s="611"/>
      <c r="O2" s="611"/>
      <c r="P2" s="611"/>
      <c r="Q2" s="611"/>
      <c r="R2" s="611"/>
      <c r="S2" s="611"/>
      <c r="T2" s="611"/>
      <c r="U2" s="611"/>
    </row>
    <row r="3" spans="1:23" ht="15.75" customHeight="1" thickBot="1" x14ac:dyDescent="0.3">
      <c r="A3" s="1026" t="s">
        <v>282</v>
      </c>
      <c r="B3" s="1027"/>
      <c r="C3" s="328"/>
      <c r="D3" s="718">
        <v>0.15</v>
      </c>
      <c r="E3" s="717"/>
      <c r="F3" s="809"/>
      <c r="G3" s="809"/>
      <c r="H3" s="718">
        <v>0.22</v>
      </c>
      <c r="I3" s="717"/>
      <c r="J3" s="718">
        <v>0.1</v>
      </c>
      <c r="K3" s="717"/>
      <c r="L3" s="718">
        <v>0.3</v>
      </c>
      <c r="M3" s="717"/>
      <c r="N3" s="718">
        <v>0.03</v>
      </c>
      <c r="O3" s="717"/>
      <c r="P3" s="718">
        <v>3.5000000000000003E-2</v>
      </c>
      <c r="Q3" s="717"/>
      <c r="R3" s="718">
        <v>6.5000000000000002E-2</v>
      </c>
      <c r="S3" s="717"/>
      <c r="T3" s="718">
        <v>0.1</v>
      </c>
      <c r="U3" s="810">
        <f>SUM(C3:T3)</f>
        <v>1.0000000000000002</v>
      </c>
      <c r="V3" s="720">
        <v>0.3903171621750206</v>
      </c>
    </row>
    <row r="4" spans="1:23" ht="30" customHeight="1" x14ac:dyDescent="0.25">
      <c r="A4" s="1028" t="s">
        <v>2</v>
      </c>
      <c r="B4" s="1030" t="s">
        <v>3</v>
      </c>
      <c r="C4" s="1020" t="s">
        <v>128</v>
      </c>
      <c r="D4" s="1021"/>
      <c r="E4" s="1041" t="s">
        <v>117</v>
      </c>
      <c r="F4" s="1042"/>
      <c r="G4" s="1042"/>
      <c r="H4" s="1043"/>
      <c r="I4" s="1020" t="s">
        <v>118</v>
      </c>
      <c r="J4" s="1021"/>
      <c r="K4" s="1028" t="s">
        <v>119</v>
      </c>
      <c r="L4" s="1040"/>
      <c r="M4" s="1028" t="s">
        <v>120</v>
      </c>
      <c r="N4" s="1040"/>
      <c r="O4" s="1028" t="s">
        <v>171</v>
      </c>
      <c r="P4" s="1040"/>
      <c r="Q4" s="1028" t="s">
        <v>121</v>
      </c>
      <c r="R4" s="1040"/>
      <c r="S4" s="1028" t="s">
        <v>130</v>
      </c>
      <c r="T4" s="1040"/>
      <c r="U4" s="1022" t="s">
        <v>122</v>
      </c>
      <c r="V4" s="1022" t="s">
        <v>123</v>
      </c>
    </row>
    <row r="5" spans="1:23" ht="15.75" thickBot="1" x14ac:dyDescent="0.3">
      <c r="A5" s="1029"/>
      <c r="B5" s="1031"/>
      <c r="C5" s="334" t="s">
        <v>28</v>
      </c>
      <c r="D5" s="335" t="s">
        <v>126</v>
      </c>
      <c r="E5" s="330" t="s">
        <v>124</v>
      </c>
      <c r="F5" s="331" t="s">
        <v>125</v>
      </c>
      <c r="G5" s="332" t="s">
        <v>28</v>
      </c>
      <c r="H5" s="333" t="s">
        <v>126</v>
      </c>
      <c r="I5" s="334" t="s">
        <v>28</v>
      </c>
      <c r="J5" s="335" t="s">
        <v>126</v>
      </c>
      <c r="K5" s="334" t="s">
        <v>28</v>
      </c>
      <c r="L5" s="335" t="s">
        <v>126</v>
      </c>
      <c r="M5" s="334" t="s">
        <v>28</v>
      </c>
      <c r="N5" s="335" t="s">
        <v>126</v>
      </c>
      <c r="O5" s="334" t="s">
        <v>28</v>
      </c>
      <c r="P5" s="335" t="s">
        <v>126</v>
      </c>
      <c r="Q5" s="334" t="s">
        <v>28</v>
      </c>
      <c r="R5" s="335" t="s">
        <v>126</v>
      </c>
      <c r="S5" s="334" t="s">
        <v>28</v>
      </c>
      <c r="T5" s="335" t="s">
        <v>126</v>
      </c>
      <c r="U5" s="1023"/>
      <c r="V5" s="1023"/>
    </row>
    <row r="6" spans="1:23" x14ac:dyDescent="0.25">
      <c r="A6" s="355">
        <v>12000</v>
      </c>
      <c r="B6" s="356" t="s">
        <v>5</v>
      </c>
      <c r="C6" s="778"/>
      <c r="D6" s="779">
        <f>D23</f>
        <v>7.4093338173188653E-2</v>
      </c>
      <c r="E6" s="778"/>
      <c r="F6" s="780"/>
      <c r="G6" s="781"/>
      <c r="H6" s="779">
        <f>0.5*H23+0.3*H40+0.2*H57</f>
        <v>3.8979507510155456E-2</v>
      </c>
      <c r="I6" s="778"/>
      <c r="J6" s="779">
        <f>J23</f>
        <v>7.7119415944227582E-2</v>
      </c>
      <c r="K6" s="778"/>
      <c r="L6" s="782">
        <f>L23</f>
        <v>0.11084619746138991</v>
      </c>
      <c r="M6" s="778"/>
      <c r="N6" s="779">
        <f>N23</f>
        <v>1.7804950639311048E-2</v>
      </c>
      <c r="O6" s="778"/>
      <c r="P6" s="782">
        <f>P23</f>
        <v>4.0320456788011459E-2</v>
      </c>
      <c r="Q6" s="778"/>
      <c r="R6" s="779">
        <f>0.5*R40+0.3*R57+0.2*R74</f>
        <v>8.3876136064480675E-2</v>
      </c>
      <c r="S6" s="778"/>
      <c r="T6" s="779">
        <f t="shared" ref="T6:T20" si="0">0.5*T40+0.3*T57+0.2*T74</f>
        <v>9.7127146997993935E-2</v>
      </c>
      <c r="U6" s="783">
        <f t="array" ref="U6">SUM($C$3:$T$3*C6:T6)</f>
        <v>7.7765321261802606E-2</v>
      </c>
      <c r="V6" s="784">
        <f>U6*$V$3</f>
        <v>3.0353139510535587E-2</v>
      </c>
      <c r="W6" s="742"/>
    </row>
    <row r="7" spans="1:23" ht="15" customHeight="1" x14ac:dyDescent="0.25">
      <c r="A7" s="355">
        <v>13000</v>
      </c>
      <c r="B7" s="357" t="s">
        <v>6</v>
      </c>
      <c r="C7" s="785"/>
      <c r="D7" s="786">
        <f t="shared" ref="D7:D20" si="1">D24</f>
        <v>4.7567393613748725E-2</v>
      </c>
      <c r="E7" s="780"/>
      <c r="F7" s="780"/>
      <c r="G7" s="780"/>
      <c r="H7" s="786">
        <f t="shared" ref="H7:H20" si="2">0.5*H24+0.3*H41+0.2*H58</f>
        <v>2.9980406397874571E-2</v>
      </c>
      <c r="I7" s="785"/>
      <c r="J7" s="786">
        <f t="shared" ref="J7:J20" si="3">J24</f>
        <v>4.7756282971516441E-2</v>
      </c>
      <c r="K7" s="785"/>
      <c r="L7" s="787">
        <f t="shared" ref="L7:L20" si="4">L24</f>
        <v>2.7291844444477652E-2</v>
      </c>
      <c r="M7" s="785"/>
      <c r="N7" s="786">
        <f t="shared" ref="N7:N20" si="5">N24</f>
        <v>0.15330005457097445</v>
      </c>
      <c r="O7" s="785"/>
      <c r="P7" s="787">
        <f t="shared" ref="P7:P20" si="6">P24</f>
        <v>2.3688507979479439E-3</v>
      </c>
      <c r="Q7" s="785"/>
      <c r="R7" s="786">
        <f t="shared" ref="R7:R20" si="7">0.5*R41+0.3*R58+0.2*R75</f>
        <v>2.2922602316220075E-2</v>
      </c>
      <c r="S7" s="785"/>
      <c r="T7" s="786">
        <f t="shared" si="0"/>
        <v>2.9614136361247045E-2</v>
      </c>
      <c r="U7" s="788">
        <f t="array" ref="U7">SUM($C$3:$T$3*C7:T7)</f>
        <v>3.5827274281826083E-2</v>
      </c>
      <c r="V7" s="789">
        <f t="shared" ref="V7:V20" si="8">U7*$V$3</f>
        <v>1.3984000026148457E-2</v>
      </c>
      <c r="W7" s="742"/>
    </row>
    <row r="8" spans="1:23" x14ac:dyDescent="0.25">
      <c r="A8" s="355">
        <v>16000</v>
      </c>
      <c r="B8" s="357" t="s">
        <v>335</v>
      </c>
      <c r="C8" s="785"/>
      <c r="D8" s="786">
        <f t="shared" si="1"/>
        <v>1.7749991881369127E-2</v>
      </c>
      <c r="E8" s="780"/>
      <c r="F8" s="780"/>
      <c r="G8" s="780"/>
      <c r="H8" s="787">
        <f t="shared" si="2"/>
        <v>1.1184808576593739E-2</v>
      </c>
      <c r="I8" s="785"/>
      <c r="J8" s="786">
        <f t="shared" si="3"/>
        <v>3.4329829825979333E-2</v>
      </c>
      <c r="K8" s="785"/>
      <c r="L8" s="787">
        <f t="shared" si="4"/>
        <v>2.231809678631275E-2</v>
      </c>
      <c r="M8" s="785"/>
      <c r="N8" s="786">
        <f t="shared" si="5"/>
        <v>0</v>
      </c>
      <c r="O8" s="785"/>
      <c r="P8" s="787">
        <f t="shared" si="6"/>
        <v>8.1088744991453479E-2</v>
      </c>
      <c r="Q8" s="785"/>
      <c r="R8" s="786">
        <f t="shared" si="7"/>
        <v>1.3028298097361866E-2</v>
      </c>
      <c r="S8" s="785"/>
      <c r="T8" s="786">
        <f t="shared" si="0"/>
        <v>3.5424549274289882E-2</v>
      </c>
      <c r="U8" s="789">
        <f t="array" ref="U8">SUM($C$3:$T$3*C8:T8)</f>
        <v>2.2478969066006129E-2</v>
      </c>
      <c r="V8" s="789">
        <f t="shared" si="8"/>
        <v>8.7739274144635858E-3</v>
      </c>
      <c r="W8" s="742"/>
    </row>
    <row r="9" spans="1:23" x14ac:dyDescent="0.25">
      <c r="A9" s="355">
        <v>17000</v>
      </c>
      <c r="B9" s="357" t="s">
        <v>9</v>
      </c>
      <c r="C9" s="785"/>
      <c r="D9" s="786">
        <f t="shared" si="1"/>
        <v>7.3350781270435303E-2</v>
      </c>
      <c r="E9" s="780"/>
      <c r="F9" s="780"/>
      <c r="G9" s="780"/>
      <c r="H9" s="787">
        <f t="shared" si="2"/>
        <v>6.2564086304056701E-2</v>
      </c>
      <c r="I9" s="785"/>
      <c r="J9" s="786">
        <f t="shared" si="3"/>
        <v>7.744964623939038E-2</v>
      </c>
      <c r="K9" s="785"/>
      <c r="L9" s="787">
        <f t="shared" si="4"/>
        <v>5.0322790505567039E-2</v>
      </c>
      <c r="M9" s="785"/>
      <c r="N9" s="786">
        <f t="shared" si="5"/>
        <v>0.15818422912455968</v>
      </c>
      <c r="O9" s="785"/>
      <c r="P9" s="787">
        <f t="shared" si="6"/>
        <v>4.5802382679338373E-2</v>
      </c>
      <c r="Q9" s="785"/>
      <c r="R9" s="786">
        <f t="shared" si="7"/>
        <v>3.3563950483621582E-2</v>
      </c>
      <c r="S9" s="785"/>
      <c r="T9" s="786">
        <f t="shared" si="0"/>
        <v>8.4302817619565582E-2</v>
      </c>
      <c r="U9" s="788">
        <f t="array" ref="U9">SUM($C$3:$T$3*C9:T9)</f>
        <v>6.4569066763972505E-2</v>
      </c>
      <c r="V9" s="789">
        <f t="shared" si="8"/>
        <v>2.5202414903603188E-2</v>
      </c>
      <c r="W9" s="742"/>
    </row>
    <row r="10" spans="1:23" x14ac:dyDescent="0.25">
      <c r="A10" s="355">
        <v>18000</v>
      </c>
      <c r="B10" s="357" t="s">
        <v>10</v>
      </c>
      <c r="C10" s="785"/>
      <c r="D10" s="786">
        <f t="shared" si="1"/>
        <v>4.8773397768671616E-2</v>
      </c>
      <c r="E10" s="780"/>
      <c r="F10" s="780"/>
      <c r="G10" s="780"/>
      <c r="H10" s="787">
        <f t="shared" si="2"/>
        <v>8.3867160952692782E-2</v>
      </c>
      <c r="I10" s="785"/>
      <c r="J10" s="786">
        <f t="shared" si="3"/>
        <v>4.4497594990146341E-2</v>
      </c>
      <c r="K10" s="785"/>
      <c r="L10" s="787">
        <f t="shared" si="4"/>
        <v>2.847012706210791E-2</v>
      </c>
      <c r="M10" s="785"/>
      <c r="N10" s="786">
        <f t="shared" si="5"/>
        <v>6.0714166563686507E-2</v>
      </c>
      <c r="O10" s="785"/>
      <c r="P10" s="787">
        <f t="shared" si="6"/>
        <v>7.3999051032733144E-3</v>
      </c>
      <c r="Q10" s="785"/>
      <c r="R10" s="786">
        <f t="shared" si="7"/>
        <v>2.7712190903341236E-2</v>
      </c>
      <c r="S10" s="785"/>
      <c r="T10" s="786">
        <f t="shared" si="0"/>
        <v>4.3096464108877429E-2</v>
      </c>
      <c r="U10" s="788">
        <f t="array" ref="U10">SUM($C$3:$T$3*C10:T10)</f>
        <v>4.6948943187670247E-2</v>
      </c>
      <c r="V10" s="789">
        <f t="shared" si="8"/>
        <v>1.8324978272127718E-2</v>
      </c>
      <c r="W10" s="742"/>
    </row>
    <row r="11" spans="1:23" x14ac:dyDescent="0.25">
      <c r="A11" s="355">
        <v>19000</v>
      </c>
      <c r="B11" s="357" t="s">
        <v>11</v>
      </c>
      <c r="C11" s="785"/>
      <c r="D11" s="786">
        <f t="shared" si="1"/>
        <v>3.3481090777333619E-2</v>
      </c>
      <c r="E11" s="780"/>
      <c r="F11" s="780"/>
      <c r="G11" s="780"/>
      <c r="H11" s="787">
        <f t="shared" si="2"/>
        <v>9.9835598110952287E-3</v>
      </c>
      <c r="I11" s="785"/>
      <c r="J11" s="786">
        <f t="shared" si="3"/>
        <v>2.953652892582808E-2</v>
      </c>
      <c r="K11" s="785"/>
      <c r="L11" s="787">
        <f t="shared" si="4"/>
        <v>2.4776336361284464E-2</v>
      </c>
      <c r="M11" s="785"/>
      <c r="N11" s="786">
        <f t="shared" si="5"/>
        <v>8.1855397811509883E-2</v>
      </c>
      <c r="O11" s="785"/>
      <c r="P11" s="787">
        <f t="shared" si="6"/>
        <v>2.9013390284008279E-3</v>
      </c>
      <c r="Q11" s="785"/>
      <c r="R11" s="786">
        <f t="shared" si="7"/>
        <v>7.4035969426437618E-3</v>
      </c>
      <c r="S11" s="785"/>
      <c r="T11" s="786">
        <f t="shared" si="0"/>
        <v>3.8721407174007558E-2</v>
      </c>
      <c r="U11" s="788">
        <f t="array" ref="U11">SUM($C$3:$T$3*C11:T11)</f>
        <v>2.4515683895021064E-2</v>
      </c>
      <c r="V11" s="789">
        <f t="shared" si="8"/>
        <v>9.5688921666844777E-3</v>
      </c>
      <c r="W11" s="742"/>
    </row>
    <row r="12" spans="1:23" x14ac:dyDescent="0.25">
      <c r="A12" s="355">
        <v>22000</v>
      </c>
      <c r="B12" s="357" t="s">
        <v>13</v>
      </c>
      <c r="C12" s="785"/>
      <c r="D12" s="786">
        <f t="shared" si="1"/>
        <v>3.415232174978803E-2</v>
      </c>
      <c r="E12" s="780"/>
      <c r="F12" s="780"/>
      <c r="G12" s="780"/>
      <c r="H12" s="787">
        <f t="shared" si="2"/>
        <v>4.5470577930954575E-2</v>
      </c>
      <c r="I12" s="785"/>
      <c r="J12" s="786">
        <f t="shared" si="3"/>
        <v>6.1973477362482383E-2</v>
      </c>
      <c r="K12" s="785"/>
      <c r="L12" s="787">
        <f t="shared" si="4"/>
        <v>0.15190870753747035</v>
      </c>
      <c r="M12" s="785"/>
      <c r="N12" s="786">
        <f t="shared" si="5"/>
        <v>1.5315107376817857E-3</v>
      </c>
      <c r="O12" s="785"/>
      <c r="P12" s="787">
        <f t="shared" si="6"/>
        <v>2.5393981225753072E-2</v>
      </c>
      <c r="Q12" s="785"/>
      <c r="R12" s="786">
        <f t="shared" si="7"/>
        <v>0.18331226039575918</v>
      </c>
      <c r="S12" s="785"/>
      <c r="T12" s="786">
        <f t="shared" si="0"/>
        <v>0.10710317198296254</v>
      </c>
      <c r="U12" s="788">
        <f t="array" ref="U12">SUM($C$3:$T$3*C12:T12)</f>
        <v>9.0456684193819969E-2</v>
      </c>
      <c r="V12" s="789">
        <f t="shared" si="8"/>
        <v>3.5306796274293853E-2</v>
      </c>
      <c r="W12" s="742"/>
    </row>
    <row r="13" spans="1:23" x14ac:dyDescent="0.25">
      <c r="A13" s="355">
        <v>23000</v>
      </c>
      <c r="B13" s="357" t="s">
        <v>14</v>
      </c>
      <c r="C13" s="785"/>
      <c r="D13" s="786">
        <f t="shared" si="1"/>
        <v>8.8516088146135444E-2</v>
      </c>
      <c r="E13" s="780"/>
      <c r="F13" s="780"/>
      <c r="G13" s="780"/>
      <c r="H13" s="787">
        <f t="shared" si="2"/>
        <v>7.1025633073259625E-2</v>
      </c>
      <c r="I13" s="785"/>
      <c r="J13" s="786">
        <f t="shared" si="3"/>
        <v>9.031736681280346E-2</v>
      </c>
      <c r="K13" s="785"/>
      <c r="L13" s="787">
        <f t="shared" si="4"/>
        <v>9.6831510674493013E-2</v>
      </c>
      <c r="M13" s="785"/>
      <c r="N13" s="786">
        <f t="shared" si="5"/>
        <v>0.20302202515847878</v>
      </c>
      <c r="O13" s="785"/>
      <c r="P13" s="787">
        <f t="shared" si="6"/>
        <v>3.9638126521112033E-3</v>
      </c>
      <c r="Q13" s="785"/>
      <c r="R13" s="786">
        <f t="shared" si="7"/>
        <v>8.9816227056308137E-2</v>
      </c>
      <c r="S13" s="785"/>
      <c r="T13" s="786">
        <f t="shared" si="0"/>
        <v>7.1550716935534817E-2</v>
      </c>
      <c r="U13" s="788">
        <f t="array" ref="U13">SUM($C$3:$T$3*C13:T13)</f>
        <v>8.6206763031457453E-2</v>
      </c>
      <c r="V13" s="789">
        <f t="shared" si="8"/>
        <v>3.364797910673295E-2</v>
      </c>
      <c r="W13" s="742"/>
    </row>
    <row r="14" spans="1:23" x14ac:dyDescent="0.25">
      <c r="A14" s="355">
        <v>24000</v>
      </c>
      <c r="B14" s="357" t="s">
        <v>15</v>
      </c>
      <c r="C14" s="785"/>
      <c r="D14" s="786">
        <f t="shared" si="1"/>
        <v>3.8828182119669867E-2</v>
      </c>
      <c r="E14" s="780"/>
      <c r="F14" s="780"/>
      <c r="G14" s="780"/>
      <c r="H14" s="787">
        <f t="shared" si="2"/>
        <v>4.1787590706669826E-2</v>
      </c>
      <c r="I14" s="785"/>
      <c r="J14" s="786">
        <f t="shared" si="3"/>
        <v>4.0103959153768909E-2</v>
      </c>
      <c r="K14" s="785"/>
      <c r="L14" s="787">
        <f t="shared" si="4"/>
        <v>4.495484769820772E-2</v>
      </c>
      <c r="M14" s="785"/>
      <c r="N14" s="786">
        <f t="shared" si="5"/>
        <v>3.76631214256948E-2</v>
      </c>
      <c r="O14" s="785"/>
      <c r="P14" s="787">
        <f t="shared" si="6"/>
        <v>2.2444717569886412E-2</v>
      </c>
      <c r="Q14" s="785"/>
      <c r="R14" s="786">
        <f t="shared" si="7"/>
        <v>4.3597654199483839E-2</v>
      </c>
      <c r="S14" s="785"/>
      <c r="T14" s="786">
        <f t="shared" si="0"/>
        <v>6.3573468331881711E-2</v>
      </c>
      <c r="U14" s="788">
        <f t="array" ref="U14">SUM($C$3:$T$3*C14:T14)</f>
        <v>4.3621000612128535E-2</v>
      </c>
      <c r="V14" s="789">
        <f t="shared" si="8"/>
        <v>1.7026025170160847E-2</v>
      </c>
      <c r="W14" s="742"/>
    </row>
    <row r="15" spans="1:23" x14ac:dyDescent="0.25">
      <c r="A15" s="355">
        <v>25000</v>
      </c>
      <c r="B15" s="357" t="s">
        <v>16</v>
      </c>
      <c r="C15" s="785"/>
      <c r="D15" s="786">
        <f t="shared" si="1"/>
        <v>5.1774816134447392E-2</v>
      </c>
      <c r="E15" s="780"/>
      <c r="F15" s="780"/>
      <c r="G15" s="780"/>
      <c r="H15" s="787">
        <f t="shared" si="2"/>
        <v>3.8787912879639404E-2</v>
      </c>
      <c r="I15" s="785"/>
      <c r="J15" s="786">
        <f t="shared" si="3"/>
        <v>5.9516445176923595E-2</v>
      </c>
      <c r="K15" s="785"/>
      <c r="L15" s="787">
        <f t="shared" si="4"/>
        <v>7.5308222185667795E-2</v>
      </c>
      <c r="M15" s="785"/>
      <c r="N15" s="786">
        <f t="shared" si="5"/>
        <v>1.2191659526141471E-2</v>
      </c>
      <c r="O15" s="785"/>
      <c r="P15" s="787">
        <f t="shared" si="6"/>
        <v>9.480858326518949E-3</v>
      </c>
      <c r="Q15" s="785"/>
      <c r="R15" s="786">
        <f t="shared" si="7"/>
        <v>4.658472722493609E-2</v>
      </c>
      <c r="S15" s="785"/>
      <c r="T15" s="786">
        <f t="shared" si="0"/>
        <v>4.7533135649742077E-2</v>
      </c>
      <c r="U15" s="788">
        <f t="array" ref="U15">SUM($C$3:$T$3*C15:T15)</f>
        <v>5.3322575088887936E-2</v>
      </c>
      <c r="V15" s="789">
        <f t="shared" si="8"/>
        <v>2.0812716188559188E-2</v>
      </c>
      <c r="W15" s="742"/>
    </row>
    <row r="16" spans="1:23" x14ac:dyDescent="0.25">
      <c r="A16" s="355">
        <v>27000</v>
      </c>
      <c r="B16" s="357" t="s">
        <v>18</v>
      </c>
      <c r="C16" s="785"/>
      <c r="D16" s="786">
        <f t="shared" si="1"/>
        <v>7.9267331411304917E-2</v>
      </c>
      <c r="E16" s="780"/>
      <c r="F16" s="780"/>
      <c r="G16" s="780"/>
      <c r="H16" s="787">
        <f t="shared" si="2"/>
        <v>8.1854345280040749E-2</v>
      </c>
      <c r="I16" s="785"/>
      <c r="J16" s="786">
        <f t="shared" si="3"/>
        <v>8.0781447472793658E-2</v>
      </c>
      <c r="K16" s="785"/>
      <c r="L16" s="787">
        <f t="shared" si="4"/>
        <v>9.6834575657839345E-2</v>
      </c>
      <c r="M16" s="785"/>
      <c r="N16" s="786">
        <f t="shared" si="5"/>
        <v>1.6481123651427985E-2</v>
      </c>
      <c r="O16" s="785"/>
      <c r="P16" s="787">
        <f t="shared" si="6"/>
        <v>6.340184440153554E-2</v>
      </c>
      <c r="Q16" s="785"/>
      <c r="R16" s="786">
        <f t="shared" si="7"/>
        <v>0.20667272126595523</v>
      </c>
      <c r="S16" s="785"/>
      <c r="T16" s="786">
        <f t="shared" si="0"/>
        <v>7.2013929704789759E-2</v>
      </c>
      <c r="U16" s="788">
        <f t="array" ref="U16">SUM($C$3:$T$3*C16:T16)</f>
        <v>9.0375191234298519E-2</v>
      </c>
      <c r="V16" s="789">
        <f t="shared" si="8"/>
        <v>3.5274988173596193E-2</v>
      </c>
      <c r="W16" s="742"/>
    </row>
    <row r="17" spans="1:23" x14ac:dyDescent="0.25">
      <c r="A17" s="355">
        <v>28000</v>
      </c>
      <c r="B17" s="357" t="s">
        <v>19</v>
      </c>
      <c r="C17" s="785"/>
      <c r="D17" s="786">
        <f t="shared" si="1"/>
        <v>7.3640518877941846E-2</v>
      </c>
      <c r="E17" s="780"/>
      <c r="F17" s="780"/>
      <c r="G17" s="780"/>
      <c r="H17" s="787">
        <f t="shared" si="2"/>
        <v>5.3976286971551539E-2</v>
      </c>
      <c r="I17" s="785"/>
      <c r="J17" s="786">
        <f t="shared" si="3"/>
        <v>7.8709734529292197E-2</v>
      </c>
      <c r="K17" s="785"/>
      <c r="L17" s="787">
        <f t="shared" si="4"/>
        <v>4.7127957208694532E-2</v>
      </c>
      <c r="M17" s="785"/>
      <c r="N17" s="786">
        <f t="shared" si="5"/>
        <v>0.14467733847519235</v>
      </c>
      <c r="O17" s="785"/>
      <c r="P17" s="787">
        <f t="shared" si="6"/>
        <v>2.9645549119215797E-2</v>
      </c>
      <c r="Q17" s="785"/>
      <c r="R17" s="786">
        <f t="shared" si="7"/>
        <v>3.1179850812647462E-2</v>
      </c>
      <c r="S17" s="785"/>
      <c r="T17" s="786">
        <f t="shared" si="0"/>
        <v>8.2386894536045849E-2</v>
      </c>
      <c r="U17" s="788">
        <f t="array" ref="U17">SUM($C$3:$T$3*C17:T17)</f>
        <v>6.0573515710825185E-2</v>
      </c>
      <c r="V17" s="789">
        <f t="shared" si="8"/>
        <v>2.3642882755213313E-2</v>
      </c>
      <c r="W17" s="742"/>
    </row>
    <row r="18" spans="1:23" x14ac:dyDescent="0.25">
      <c r="A18" s="355">
        <v>31000</v>
      </c>
      <c r="B18" s="357" t="s">
        <v>20</v>
      </c>
      <c r="C18" s="785"/>
      <c r="D18" s="786">
        <f t="shared" si="1"/>
        <v>0.10535561071437639</v>
      </c>
      <c r="E18" s="780"/>
      <c r="F18" s="780"/>
      <c r="G18" s="780"/>
      <c r="H18" s="787">
        <f t="shared" si="2"/>
        <v>0.18709355679988249</v>
      </c>
      <c r="I18" s="785"/>
      <c r="J18" s="786">
        <f t="shared" si="3"/>
        <v>6.3800682013069362E-2</v>
      </c>
      <c r="K18" s="785"/>
      <c r="L18" s="787">
        <f t="shared" si="4"/>
        <v>2.846545507344728E-2</v>
      </c>
      <c r="M18" s="785"/>
      <c r="N18" s="786">
        <f t="shared" si="5"/>
        <v>2.9715308366857203E-3</v>
      </c>
      <c r="O18" s="785"/>
      <c r="P18" s="787">
        <f t="shared" si="6"/>
        <v>0.24965033515185928</v>
      </c>
      <c r="Q18" s="785"/>
      <c r="R18" s="786">
        <f t="shared" si="7"/>
        <v>3.5308465197857707E-2</v>
      </c>
      <c r="S18" s="785"/>
      <c r="T18" s="786">
        <f t="shared" si="0"/>
        <v>4.3781280032323552E-2</v>
      </c>
      <c r="U18" s="788">
        <f t="array" ref="U18">SUM($C$3:$T$3*C18:T18)</f>
        <v>8.7383714722980468E-2</v>
      </c>
      <c r="V18" s="789">
        <f t="shared" si="8"/>
        <v>3.4107363550985301E-2</v>
      </c>
      <c r="W18" s="742"/>
    </row>
    <row r="19" spans="1:23" x14ac:dyDescent="0.25">
      <c r="A19" s="355">
        <v>41000</v>
      </c>
      <c r="B19" s="357" t="s">
        <v>21</v>
      </c>
      <c r="C19" s="785"/>
      <c r="D19" s="786">
        <f t="shared" si="1"/>
        <v>0.15358872234757631</v>
      </c>
      <c r="E19" s="780"/>
      <c r="F19" s="780"/>
      <c r="G19" s="780"/>
      <c r="H19" s="787">
        <f t="shared" si="2"/>
        <v>0.15452922366491212</v>
      </c>
      <c r="I19" s="785"/>
      <c r="J19" s="786">
        <f t="shared" si="3"/>
        <v>0.13762640547287658</v>
      </c>
      <c r="K19" s="785"/>
      <c r="L19" s="787">
        <f t="shared" si="4"/>
        <v>0.10058472928580112</v>
      </c>
      <c r="M19" s="785"/>
      <c r="N19" s="786">
        <f t="shared" si="5"/>
        <v>9.9587772969767403E-3</v>
      </c>
      <c r="O19" s="785"/>
      <c r="P19" s="787">
        <f t="shared" si="6"/>
        <v>0.34647445569103535</v>
      </c>
      <c r="Q19" s="785"/>
      <c r="R19" s="786">
        <f t="shared" si="7"/>
        <v>9.8690244918694936E-2</v>
      </c>
      <c r="S19" s="785"/>
      <c r="T19" s="786">
        <f t="shared" si="0"/>
        <v>0.12581729053011692</v>
      </c>
      <c r="U19" s="788">
        <f t="array" ref="U19">SUM($C$3:$T$3*C19:T19)</f>
        <v>0.1323947611322675</v>
      </c>
      <c r="V19" s="789">
        <f t="shared" si="8"/>
        <v>5.1675947451986372E-2</v>
      </c>
      <c r="W19" s="742"/>
    </row>
    <row r="20" spans="1:23" ht="15" customHeight="1" thickBot="1" x14ac:dyDescent="0.3">
      <c r="A20" s="358">
        <v>43000</v>
      </c>
      <c r="B20" s="359" t="s">
        <v>22</v>
      </c>
      <c r="C20" s="785"/>
      <c r="D20" s="786">
        <f t="shared" si="1"/>
        <v>7.9860415014012892E-2</v>
      </c>
      <c r="E20" s="790"/>
      <c r="F20" s="780"/>
      <c r="G20" s="791"/>
      <c r="H20" s="792">
        <f t="shared" si="2"/>
        <v>8.8915343140621203E-2</v>
      </c>
      <c r="I20" s="785"/>
      <c r="J20" s="786">
        <f t="shared" si="3"/>
        <v>7.6481183108901687E-2</v>
      </c>
      <c r="K20" s="785"/>
      <c r="L20" s="787">
        <f t="shared" si="4"/>
        <v>9.3958602057239216E-2</v>
      </c>
      <c r="M20" s="785"/>
      <c r="N20" s="786">
        <f t="shared" si="5"/>
        <v>9.9644114181678775E-2</v>
      </c>
      <c r="O20" s="785"/>
      <c r="P20" s="787">
        <f t="shared" si="6"/>
        <v>6.9662766473658974E-2</v>
      </c>
      <c r="Q20" s="785"/>
      <c r="R20" s="786">
        <f t="shared" si="7"/>
        <v>7.633107412068818E-2</v>
      </c>
      <c r="S20" s="785"/>
      <c r="T20" s="786">
        <f t="shared" si="0"/>
        <v>5.7953590760621454E-2</v>
      </c>
      <c r="U20" s="788">
        <f t="array" ref="U20">SUM($C$3:$T$3*C20:T20)</f>
        <v>8.3560535817035833E-2</v>
      </c>
      <c r="V20" s="789">
        <f t="shared" si="8"/>
        <v>3.261511120992959E-2</v>
      </c>
      <c r="W20" s="742"/>
    </row>
    <row r="21" spans="1:23" ht="15.75" thickBot="1" x14ac:dyDescent="0.3">
      <c r="A21" s="1038" t="s">
        <v>127</v>
      </c>
      <c r="B21" s="1039"/>
      <c r="C21" s="793"/>
      <c r="D21" s="794">
        <f>SUM(D6:D20)</f>
        <v>1.0000000000000002</v>
      </c>
      <c r="E21" s="795"/>
      <c r="F21" s="795"/>
      <c r="G21" s="795"/>
      <c r="H21" s="796">
        <f>SUM(H6:H20)</f>
        <v>0.99999999999999989</v>
      </c>
      <c r="I21" s="793"/>
      <c r="J21" s="794">
        <f>SUM(J6:J20)</f>
        <v>0.99999999999999989</v>
      </c>
      <c r="K21" s="793"/>
      <c r="L21" s="796">
        <f>SUM(L6:L20)</f>
        <v>1.0000000000000002</v>
      </c>
      <c r="M21" s="793"/>
      <c r="N21" s="794">
        <f>SUM(N6:N20)</f>
        <v>0.99999999999999978</v>
      </c>
      <c r="O21" s="793"/>
      <c r="P21" s="796">
        <f>SUM(P6:P20)</f>
        <v>1</v>
      </c>
      <c r="Q21" s="793"/>
      <c r="R21" s="794">
        <f>SUM(R6:R20)</f>
        <v>1</v>
      </c>
      <c r="S21" s="793"/>
      <c r="T21" s="794">
        <f>SUM(T6:T20)</f>
        <v>1</v>
      </c>
      <c r="U21" s="797">
        <f>SUM(U6:U20)</f>
        <v>0.99999999999999989</v>
      </c>
      <c r="V21" s="798">
        <f>SUM(V6:V20)</f>
        <v>0.39031716217502066</v>
      </c>
      <c r="W21" s="742"/>
    </row>
    <row r="22" spans="1:23" ht="15.75" thickBot="1" x14ac:dyDescent="0.3">
      <c r="A22" s="611"/>
      <c r="B22" s="611"/>
      <c r="C22" s="742"/>
      <c r="D22" s="742"/>
      <c r="E22" s="742"/>
      <c r="F22" s="742"/>
      <c r="G22" s="742"/>
      <c r="H22" s="742"/>
      <c r="I22" s="742"/>
      <c r="J22" s="742"/>
      <c r="K22" s="742"/>
      <c r="L22" s="742"/>
      <c r="M22" s="742"/>
      <c r="N22" s="742"/>
      <c r="O22" s="742"/>
      <c r="P22" s="742"/>
      <c r="Q22" s="742"/>
      <c r="R22" s="742"/>
      <c r="S22" s="742"/>
      <c r="T22" s="742"/>
      <c r="U22" s="742"/>
      <c r="V22" s="742"/>
      <c r="W22" s="742"/>
    </row>
    <row r="23" spans="1:23" x14ac:dyDescent="0.25">
      <c r="A23" s="360">
        <v>12000</v>
      </c>
      <c r="B23" s="356" t="s">
        <v>5</v>
      </c>
      <c r="C23" s="799">
        <v>4978.9554655870443</v>
      </c>
      <c r="D23" s="779">
        <f>C23/$C$38</f>
        <v>7.4093338173188653E-2</v>
      </c>
      <c r="E23" s="799">
        <v>12944</v>
      </c>
      <c r="F23" s="800">
        <v>10790</v>
      </c>
      <c r="G23" s="800">
        <f>E23+F23</f>
        <v>23734</v>
      </c>
      <c r="H23" s="779">
        <f>G23/$G$38</f>
        <v>3.4408670741466696E-2</v>
      </c>
      <c r="I23" s="799">
        <v>2353.1925376613108</v>
      </c>
      <c r="J23" s="779">
        <f>I23/$I$38</f>
        <v>7.7119415944227582E-2</v>
      </c>
      <c r="K23" s="799"/>
      <c r="L23" s="782">
        <v>0.11084619746138991</v>
      </c>
      <c r="M23" s="799">
        <v>4184.1049999999996</v>
      </c>
      <c r="N23" s="779">
        <f>M23/$M$38</f>
        <v>1.7804950639311048E-2</v>
      </c>
      <c r="O23" s="799"/>
      <c r="P23" s="779">
        <v>4.0320456788011459E-2</v>
      </c>
      <c r="Q23" s="742"/>
      <c r="R23" s="801"/>
      <c r="S23" s="742"/>
      <c r="T23" s="802"/>
      <c r="U23" s="742"/>
      <c r="V23" s="742"/>
      <c r="W23" s="742"/>
    </row>
    <row r="24" spans="1:23" ht="15" customHeight="1" x14ac:dyDescent="0.25">
      <c r="A24" s="361">
        <v>13000</v>
      </c>
      <c r="B24" s="357" t="s">
        <v>6</v>
      </c>
      <c r="C24" s="803">
        <v>3196.4538277829374</v>
      </c>
      <c r="D24" s="786">
        <f t="shared" ref="D24:D37" si="9">C24/$C$38</f>
        <v>4.7567393613748725E-2</v>
      </c>
      <c r="E24" s="803">
        <v>9204</v>
      </c>
      <c r="F24" s="804">
        <v>10624</v>
      </c>
      <c r="G24" s="804">
        <f t="shared" ref="G24:G37" si="10">E24+F24</f>
        <v>19828</v>
      </c>
      <c r="H24" s="786">
        <f t="shared" ref="H24:H37" si="11">G24/$G$38</f>
        <v>2.8745897171222789E-2</v>
      </c>
      <c r="I24" s="803">
        <v>1457.2170618652885</v>
      </c>
      <c r="J24" s="786">
        <f t="shared" ref="J24:J37" si="12">I24/$I$38</f>
        <v>4.7756282971516441E-2</v>
      </c>
      <c r="K24" s="803"/>
      <c r="L24" s="787">
        <v>2.7291844444477652E-2</v>
      </c>
      <c r="M24" s="803">
        <v>36025.01</v>
      </c>
      <c r="N24" s="786">
        <f t="shared" ref="N24:N37" si="13">M24/$M$38</f>
        <v>0.15330005457097445</v>
      </c>
      <c r="O24" s="803"/>
      <c r="P24" s="786">
        <v>2.3688507979479439E-3</v>
      </c>
      <c r="Q24" s="742"/>
      <c r="R24" s="801"/>
      <c r="S24" s="742"/>
      <c r="T24" s="742"/>
      <c r="U24" s="742"/>
      <c r="V24" s="742"/>
      <c r="W24" s="742"/>
    </row>
    <row r="25" spans="1:23" x14ac:dyDescent="0.25">
      <c r="A25" s="361">
        <v>16000</v>
      </c>
      <c r="B25" s="357" t="s">
        <v>335</v>
      </c>
      <c r="C25" s="803">
        <v>1192.7714592274679</v>
      </c>
      <c r="D25" s="786">
        <f t="shared" si="9"/>
        <v>1.7749991881369127E-2</v>
      </c>
      <c r="E25" s="803">
        <v>0</v>
      </c>
      <c r="F25" s="804">
        <v>6022</v>
      </c>
      <c r="G25" s="804">
        <f t="shared" si="10"/>
        <v>6022</v>
      </c>
      <c r="H25" s="786">
        <f t="shared" si="11"/>
        <v>8.730471694830726E-3</v>
      </c>
      <c r="I25" s="803">
        <v>1047.5273752604712</v>
      </c>
      <c r="J25" s="786">
        <f t="shared" si="12"/>
        <v>3.4329829825979333E-2</v>
      </c>
      <c r="K25" s="803"/>
      <c r="L25" s="787">
        <v>2.231809678631275E-2</v>
      </c>
      <c r="M25" s="803">
        <v>0</v>
      </c>
      <c r="N25" s="786">
        <f t="shared" si="13"/>
        <v>0</v>
      </c>
      <c r="O25" s="803"/>
      <c r="P25" s="786">
        <v>8.1088744991453479E-2</v>
      </c>
      <c r="Q25" s="742"/>
      <c r="R25" s="801"/>
      <c r="S25" s="742"/>
      <c r="T25" s="742"/>
      <c r="U25" s="742"/>
      <c r="V25" s="742"/>
      <c r="W25" s="742"/>
    </row>
    <row r="26" spans="1:23" x14ac:dyDescent="0.25">
      <c r="A26" s="361">
        <v>17000</v>
      </c>
      <c r="B26" s="357" t="s">
        <v>9</v>
      </c>
      <c r="C26" s="803">
        <v>4929.056812879141</v>
      </c>
      <c r="D26" s="786">
        <f t="shared" si="9"/>
        <v>7.3350781270435303E-2</v>
      </c>
      <c r="E26" s="803">
        <v>17203</v>
      </c>
      <c r="F26" s="804">
        <v>28536</v>
      </c>
      <c r="G26" s="804">
        <f t="shared" si="10"/>
        <v>45739</v>
      </c>
      <c r="H26" s="786">
        <f t="shared" si="11"/>
        <v>6.6310701569223279E-2</v>
      </c>
      <c r="I26" s="803">
        <v>2363.2690593358107</v>
      </c>
      <c r="J26" s="786">
        <f t="shared" si="12"/>
        <v>7.744964623939038E-2</v>
      </c>
      <c r="K26" s="803"/>
      <c r="L26" s="787">
        <v>5.0322790505567039E-2</v>
      </c>
      <c r="M26" s="803">
        <v>37172.774999999994</v>
      </c>
      <c r="N26" s="786">
        <f t="shared" si="13"/>
        <v>0.15818422912455968</v>
      </c>
      <c r="O26" s="803"/>
      <c r="P26" s="786">
        <v>4.5802382679338373E-2</v>
      </c>
      <c r="Q26" s="742"/>
      <c r="R26" s="801"/>
      <c r="S26" s="742"/>
      <c r="T26" s="742"/>
      <c r="U26" s="742"/>
      <c r="V26" s="742"/>
      <c r="W26" s="742"/>
    </row>
    <row r="27" spans="1:23" x14ac:dyDescent="0.25">
      <c r="A27" s="361">
        <v>18000</v>
      </c>
      <c r="B27" s="357" t="s">
        <v>10</v>
      </c>
      <c r="C27" s="803">
        <v>3277.4954048898903</v>
      </c>
      <c r="D27" s="786">
        <f t="shared" si="9"/>
        <v>4.8773397768671616E-2</v>
      </c>
      <c r="E27" s="803">
        <v>14572</v>
      </c>
      <c r="F27" s="804">
        <v>54719</v>
      </c>
      <c r="G27" s="804">
        <f t="shared" si="10"/>
        <v>69291</v>
      </c>
      <c r="H27" s="786">
        <f t="shared" si="11"/>
        <v>0.10045551547766786</v>
      </c>
      <c r="I27" s="803">
        <v>1357.7826957405191</v>
      </c>
      <c r="J27" s="786">
        <f t="shared" si="12"/>
        <v>4.4497594990146341E-2</v>
      </c>
      <c r="K27" s="803"/>
      <c r="L27" s="787">
        <v>2.847012706210791E-2</v>
      </c>
      <c r="M27" s="803">
        <v>14267.630000000001</v>
      </c>
      <c r="N27" s="786">
        <f t="shared" si="13"/>
        <v>6.0714166563686507E-2</v>
      </c>
      <c r="O27" s="803"/>
      <c r="P27" s="786">
        <v>7.3999051032733144E-3</v>
      </c>
      <c r="Q27" s="742"/>
      <c r="R27" s="801"/>
      <c r="S27" s="742"/>
      <c r="T27" s="742"/>
      <c r="U27" s="742"/>
      <c r="V27" s="742"/>
      <c r="W27" s="742"/>
    </row>
    <row r="28" spans="1:23" x14ac:dyDescent="0.25">
      <c r="A28" s="361">
        <v>19000</v>
      </c>
      <c r="B28" s="357" t="s">
        <v>11</v>
      </c>
      <c r="C28" s="803">
        <v>2249.8764940239043</v>
      </c>
      <c r="D28" s="786">
        <f t="shared" si="9"/>
        <v>3.3481090777333619E-2</v>
      </c>
      <c r="E28" s="803">
        <v>2750</v>
      </c>
      <c r="F28" s="804">
        <v>2469</v>
      </c>
      <c r="G28" s="804">
        <f t="shared" si="10"/>
        <v>5219</v>
      </c>
      <c r="H28" s="786">
        <f t="shared" si="11"/>
        <v>7.5663121513320419E-3</v>
      </c>
      <c r="I28" s="803">
        <v>901.26641398505785</v>
      </c>
      <c r="J28" s="786">
        <f t="shared" si="12"/>
        <v>2.953652892582808E-2</v>
      </c>
      <c r="K28" s="803"/>
      <c r="L28" s="787">
        <v>2.4776336361284464E-2</v>
      </c>
      <c r="M28" s="803">
        <v>19235.75</v>
      </c>
      <c r="N28" s="786">
        <f t="shared" si="13"/>
        <v>8.1855397811509883E-2</v>
      </c>
      <c r="O28" s="803"/>
      <c r="P28" s="786">
        <v>2.9013390284008279E-3</v>
      </c>
      <c r="Q28" s="742"/>
      <c r="R28" s="801"/>
      <c r="S28" s="742"/>
      <c r="T28" s="742"/>
      <c r="U28" s="742"/>
      <c r="V28" s="742"/>
      <c r="W28" s="742"/>
    </row>
    <row r="29" spans="1:23" x14ac:dyDescent="0.25">
      <c r="A29" s="361">
        <v>22000</v>
      </c>
      <c r="B29" s="357" t="s">
        <v>13</v>
      </c>
      <c r="C29" s="803">
        <v>2294.9821567106283</v>
      </c>
      <c r="D29" s="786">
        <f t="shared" si="9"/>
        <v>3.415232174978803E-2</v>
      </c>
      <c r="E29" s="803">
        <v>8251</v>
      </c>
      <c r="F29" s="804">
        <v>24658</v>
      </c>
      <c r="G29" s="804">
        <f t="shared" si="10"/>
        <v>32909</v>
      </c>
      <c r="H29" s="786">
        <f t="shared" si="11"/>
        <v>4.7710244603982786E-2</v>
      </c>
      <c r="I29" s="803">
        <v>1891.0351261967974</v>
      </c>
      <c r="J29" s="786">
        <f t="shared" si="12"/>
        <v>6.1973477362482383E-2</v>
      </c>
      <c r="K29" s="803"/>
      <c r="L29" s="787">
        <v>0.15190870753747035</v>
      </c>
      <c r="M29" s="803">
        <v>359.90000000000003</v>
      </c>
      <c r="N29" s="786">
        <f t="shared" si="13"/>
        <v>1.5315107376817857E-3</v>
      </c>
      <c r="O29" s="803"/>
      <c r="P29" s="786">
        <v>2.5393981225753072E-2</v>
      </c>
      <c r="Q29" s="742"/>
      <c r="R29" s="801"/>
      <c r="S29" s="742"/>
      <c r="T29" s="742"/>
      <c r="U29" s="742"/>
      <c r="V29" s="742"/>
      <c r="W29" s="742"/>
    </row>
    <row r="30" spans="1:23" x14ac:dyDescent="0.25">
      <c r="A30" s="361">
        <v>23000</v>
      </c>
      <c r="B30" s="357" t="s">
        <v>14</v>
      </c>
      <c r="C30" s="803">
        <v>5948.1415162782259</v>
      </c>
      <c r="D30" s="786">
        <f t="shared" si="9"/>
        <v>8.8516088146135444E-2</v>
      </c>
      <c r="E30" s="803">
        <v>25094</v>
      </c>
      <c r="F30" s="804">
        <v>25341</v>
      </c>
      <c r="G30" s="804">
        <f t="shared" si="10"/>
        <v>50435</v>
      </c>
      <c r="H30" s="786">
        <f t="shared" si="11"/>
        <v>7.3118787766321428E-2</v>
      </c>
      <c r="I30" s="803">
        <v>2755.9097926624881</v>
      </c>
      <c r="J30" s="786">
        <f t="shared" si="12"/>
        <v>9.031736681280346E-2</v>
      </c>
      <c r="K30" s="803"/>
      <c r="L30" s="787">
        <v>9.6831510674493013E-2</v>
      </c>
      <c r="M30" s="803">
        <v>47709.509999999995</v>
      </c>
      <c r="N30" s="786">
        <f t="shared" si="13"/>
        <v>0.20302202515847878</v>
      </c>
      <c r="O30" s="803"/>
      <c r="P30" s="786">
        <v>3.9638126521112033E-3</v>
      </c>
      <c r="Q30" s="742"/>
      <c r="R30" s="801"/>
      <c r="S30" s="742"/>
      <c r="T30" s="742"/>
      <c r="U30" s="742"/>
      <c r="V30" s="742"/>
      <c r="W30" s="742"/>
    </row>
    <row r="31" spans="1:23" x14ac:dyDescent="0.25">
      <c r="A31" s="361">
        <v>24000</v>
      </c>
      <c r="B31" s="357" t="s">
        <v>15</v>
      </c>
      <c r="C31" s="803">
        <v>2609.1925988225403</v>
      </c>
      <c r="D31" s="786">
        <f t="shared" si="9"/>
        <v>3.8828182119669867E-2</v>
      </c>
      <c r="E31" s="803">
        <v>8328</v>
      </c>
      <c r="F31" s="804">
        <v>16824</v>
      </c>
      <c r="G31" s="804">
        <f t="shared" si="10"/>
        <v>25152</v>
      </c>
      <c r="H31" s="786">
        <f t="shared" si="11"/>
        <v>3.6464434418529132E-2</v>
      </c>
      <c r="I31" s="803">
        <v>1223.7169622702104</v>
      </c>
      <c r="J31" s="786">
        <f t="shared" si="12"/>
        <v>4.0103959153768909E-2</v>
      </c>
      <c r="K31" s="803"/>
      <c r="L31" s="787">
        <v>4.495484769820772E-2</v>
      </c>
      <c r="M31" s="803">
        <v>8850.7100000000009</v>
      </c>
      <c r="N31" s="786">
        <f t="shared" si="13"/>
        <v>3.76631214256948E-2</v>
      </c>
      <c r="O31" s="803"/>
      <c r="P31" s="786">
        <v>2.2444717569886412E-2</v>
      </c>
      <c r="Q31" s="742"/>
      <c r="R31" s="801"/>
      <c r="S31" s="742"/>
      <c r="T31" s="742"/>
      <c r="U31" s="742"/>
      <c r="V31" s="742"/>
      <c r="W31" s="742"/>
    </row>
    <row r="32" spans="1:23" x14ac:dyDescent="0.25">
      <c r="A32" s="361">
        <v>25000</v>
      </c>
      <c r="B32" s="357" t="s">
        <v>16</v>
      </c>
      <c r="C32" s="803">
        <v>3479.1859852476291</v>
      </c>
      <c r="D32" s="786">
        <f t="shared" si="9"/>
        <v>5.1774816134447392E-2</v>
      </c>
      <c r="E32" s="803">
        <v>11961</v>
      </c>
      <c r="F32" s="804">
        <v>12883</v>
      </c>
      <c r="G32" s="804">
        <f t="shared" si="10"/>
        <v>24844</v>
      </c>
      <c r="H32" s="786">
        <f t="shared" si="11"/>
        <v>3.6017907470337854E-2</v>
      </c>
      <c r="I32" s="803">
        <v>1816.0621802394262</v>
      </c>
      <c r="J32" s="786">
        <f t="shared" si="12"/>
        <v>5.9516445176923595E-2</v>
      </c>
      <c r="K32" s="803"/>
      <c r="L32" s="787">
        <v>7.5308222185667795E-2</v>
      </c>
      <c r="M32" s="803">
        <v>2865</v>
      </c>
      <c r="N32" s="786">
        <f t="shared" si="13"/>
        <v>1.2191659526141471E-2</v>
      </c>
      <c r="O32" s="803"/>
      <c r="P32" s="786">
        <v>9.480858326518949E-3</v>
      </c>
      <c r="Q32" s="742"/>
      <c r="R32" s="801"/>
      <c r="S32" s="742"/>
      <c r="T32" s="742"/>
      <c r="U32" s="742"/>
      <c r="V32" s="742"/>
      <c r="W32" s="742"/>
    </row>
    <row r="33" spans="1:23" x14ac:dyDescent="0.25">
      <c r="A33" s="361">
        <v>27000</v>
      </c>
      <c r="B33" s="357" t="s">
        <v>18</v>
      </c>
      <c r="C33" s="803">
        <v>5326.6396507915824</v>
      </c>
      <c r="D33" s="786">
        <f t="shared" si="9"/>
        <v>7.9267331411304917E-2</v>
      </c>
      <c r="E33" s="803">
        <v>8786</v>
      </c>
      <c r="F33" s="804">
        <v>44699</v>
      </c>
      <c r="G33" s="804">
        <f t="shared" si="10"/>
        <v>53485</v>
      </c>
      <c r="H33" s="786">
        <f t="shared" si="11"/>
        <v>7.75405643636701E-2</v>
      </c>
      <c r="I33" s="803">
        <v>2464.9343754357856</v>
      </c>
      <c r="J33" s="786">
        <f t="shared" si="12"/>
        <v>8.0781447472793658E-2</v>
      </c>
      <c r="K33" s="803"/>
      <c r="L33" s="787">
        <v>9.6834575657839345E-2</v>
      </c>
      <c r="M33" s="803">
        <v>3873.0099999999998</v>
      </c>
      <c r="N33" s="786">
        <f t="shared" si="13"/>
        <v>1.6481123651427985E-2</v>
      </c>
      <c r="O33" s="803"/>
      <c r="P33" s="786">
        <v>6.340184440153554E-2</v>
      </c>
      <c r="Q33" s="742"/>
      <c r="R33" s="801"/>
      <c r="S33" s="742"/>
      <c r="T33" s="742"/>
      <c r="U33" s="742"/>
      <c r="V33" s="742"/>
      <c r="W33" s="742"/>
    </row>
    <row r="34" spans="1:23" x14ac:dyDescent="0.25">
      <c r="A34" s="361">
        <v>28000</v>
      </c>
      <c r="B34" s="357" t="s">
        <v>19</v>
      </c>
      <c r="C34" s="803">
        <v>4948.5267231308408</v>
      </c>
      <c r="D34" s="786">
        <f t="shared" si="9"/>
        <v>7.3640518877941846E-2</v>
      </c>
      <c r="E34" s="803">
        <v>16986</v>
      </c>
      <c r="F34" s="804">
        <v>17413</v>
      </c>
      <c r="G34" s="804">
        <f t="shared" si="10"/>
        <v>34399</v>
      </c>
      <c r="H34" s="786">
        <f t="shared" si="11"/>
        <v>4.9870391203999026E-2</v>
      </c>
      <c r="I34" s="803">
        <v>2401.7189143338801</v>
      </c>
      <c r="J34" s="786">
        <f t="shared" si="12"/>
        <v>7.8709734529292197E-2</v>
      </c>
      <c r="K34" s="803"/>
      <c r="L34" s="787">
        <v>4.7127957208694532E-2</v>
      </c>
      <c r="M34" s="803">
        <v>33998.700000000004</v>
      </c>
      <c r="N34" s="786">
        <f t="shared" si="13"/>
        <v>0.14467733847519235</v>
      </c>
      <c r="O34" s="803"/>
      <c r="P34" s="786">
        <v>2.9645549119215797E-2</v>
      </c>
      <c r="Q34" s="742"/>
      <c r="R34" s="801"/>
      <c r="S34" s="742"/>
      <c r="T34" s="742"/>
      <c r="U34" s="742"/>
      <c r="V34" s="742"/>
      <c r="W34" s="742"/>
    </row>
    <row r="35" spans="1:23" x14ac:dyDescent="0.25">
      <c r="A35" s="361">
        <v>31000</v>
      </c>
      <c r="B35" s="357" t="s">
        <v>20</v>
      </c>
      <c r="C35" s="803">
        <v>7079.7308736512359</v>
      </c>
      <c r="D35" s="786">
        <f t="shared" si="9"/>
        <v>0.10535561071437639</v>
      </c>
      <c r="E35" s="803">
        <v>66820</v>
      </c>
      <c r="F35" s="804">
        <v>57401</v>
      </c>
      <c r="G35" s="804">
        <f t="shared" si="10"/>
        <v>124221</v>
      </c>
      <c r="H35" s="786">
        <f t="shared" si="11"/>
        <v>0.18009098711450808</v>
      </c>
      <c r="I35" s="803">
        <v>1946.7897542096816</v>
      </c>
      <c r="J35" s="786">
        <f t="shared" si="12"/>
        <v>6.3800682013069362E-2</v>
      </c>
      <c r="K35" s="803"/>
      <c r="L35" s="787">
        <v>2.846545507344728E-2</v>
      </c>
      <c r="M35" s="803">
        <v>698.3</v>
      </c>
      <c r="N35" s="786">
        <f t="shared" si="13"/>
        <v>2.9715308366857203E-3</v>
      </c>
      <c r="O35" s="803"/>
      <c r="P35" s="786">
        <v>0.24965033515185928</v>
      </c>
      <c r="Q35" s="742"/>
      <c r="R35" s="801"/>
      <c r="S35" s="742"/>
      <c r="T35" s="742"/>
      <c r="U35" s="742"/>
      <c r="V35" s="742"/>
      <c r="W35" s="742"/>
    </row>
    <row r="36" spans="1:23" x14ac:dyDescent="0.25">
      <c r="A36" s="361">
        <v>41000</v>
      </c>
      <c r="B36" s="357" t="s">
        <v>21</v>
      </c>
      <c r="C36" s="803">
        <v>10320.919902374084</v>
      </c>
      <c r="D36" s="786">
        <f t="shared" si="9"/>
        <v>0.15358872234757631</v>
      </c>
      <c r="E36" s="803">
        <v>38529</v>
      </c>
      <c r="F36" s="804">
        <v>75400</v>
      </c>
      <c r="G36" s="804">
        <f t="shared" si="10"/>
        <v>113929</v>
      </c>
      <c r="H36" s="786">
        <f t="shared" si="11"/>
        <v>0.16517002818338919</v>
      </c>
      <c r="I36" s="803">
        <v>4199.4798116487045</v>
      </c>
      <c r="J36" s="786">
        <f t="shared" si="12"/>
        <v>0.13762640547287658</v>
      </c>
      <c r="K36" s="803"/>
      <c r="L36" s="787">
        <v>0.10058472928580112</v>
      </c>
      <c r="M36" s="803">
        <v>2340.2799999999997</v>
      </c>
      <c r="N36" s="786">
        <f t="shared" si="13"/>
        <v>9.9587772969767403E-3</v>
      </c>
      <c r="O36" s="803"/>
      <c r="P36" s="786">
        <v>0.34647445569103535</v>
      </c>
      <c r="Q36" s="742"/>
      <c r="R36" s="801"/>
      <c r="S36" s="742"/>
      <c r="T36" s="742"/>
      <c r="U36" s="742"/>
      <c r="V36" s="742"/>
      <c r="W36" s="742"/>
    </row>
    <row r="37" spans="1:23" ht="15.75" thickBot="1" x14ac:dyDescent="0.3">
      <c r="A37" s="362">
        <v>43000</v>
      </c>
      <c r="B37" s="359" t="s">
        <v>22</v>
      </c>
      <c r="C37" s="803">
        <v>5366.493933484996</v>
      </c>
      <c r="D37" s="786">
        <f t="shared" si="9"/>
        <v>7.9860415014012892E-2</v>
      </c>
      <c r="E37" s="805">
        <v>17638</v>
      </c>
      <c r="F37" s="804">
        <v>42923</v>
      </c>
      <c r="G37" s="806">
        <f t="shared" si="10"/>
        <v>60561</v>
      </c>
      <c r="H37" s="792">
        <f t="shared" si="11"/>
        <v>8.7799086069519028E-2</v>
      </c>
      <c r="I37" s="803">
        <v>2333.7177435774774</v>
      </c>
      <c r="J37" s="786">
        <f t="shared" si="12"/>
        <v>7.6481183108901687E-2</v>
      </c>
      <c r="K37" s="803"/>
      <c r="L37" s="787">
        <v>9.3958602057239216E-2</v>
      </c>
      <c r="M37" s="803">
        <v>23416.039999999997</v>
      </c>
      <c r="N37" s="786">
        <f t="shared" si="13"/>
        <v>9.9644114181678775E-2</v>
      </c>
      <c r="O37" s="803"/>
      <c r="P37" s="786">
        <v>6.9662766473658974E-2</v>
      </c>
      <c r="Q37" s="742"/>
      <c r="R37" s="801"/>
      <c r="S37" s="742"/>
      <c r="T37" s="742"/>
      <c r="U37" s="742"/>
      <c r="V37" s="742"/>
      <c r="W37" s="742"/>
    </row>
    <row r="38" spans="1:23" ht="15.75" thickBot="1" x14ac:dyDescent="0.3">
      <c r="A38" s="647">
        <v>2021</v>
      </c>
      <c r="B38" s="363" t="s">
        <v>127</v>
      </c>
      <c r="C38" s="807">
        <f t="shared" ref="C38:J38" si="14">SUM(C23:C37)</f>
        <v>67198.422804882139</v>
      </c>
      <c r="D38" s="794">
        <f t="shared" si="14"/>
        <v>1.0000000000000002</v>
      </c>
      <c r="E38" s="807">
        <f t="shared" si="14"/>
        <v>259066</v>
      </c>
      <c r="F38" s="808">
        <f t="shared" si="14"/>
        <v>430702</v>
      </c>
      <c r="G38" s="808">
        <f t="shared" si="14"/>
        <v>689768</v>
      </c>
      <c r="H38" s="794">
        <f t="shared" si="14"/>
        <v>1</v>
      </c>
      <c r="I38" s="807">
        <f t="shared" si="14"/>
        <v>30513.61980442291</v>
      </c>
      <c r="J38" s="794">
        <f t="shared" si="14"/>
        <v>0.99999999999999989</v>
      </c>
      <c r="K38" s="807"/>
      <c r="L38" s="796">
        <f>SUM(L23:L37)</f>
        <v>1.0000000000000002</v>
      </c>
      <c r="M38" s="807">
        <f>SUM(M23:M37)</f>
        <v>234996.72</v>
      </c>
      <c r="N38" s="794">
        <f>SUM(N23:N37)</f>
        <v>0.99999999999999978</v>
      </c>
      <c r="O38" s="807">
        <f>SUM(O23:O37)</f>
        <v>0</v>
      </c>
      <c r="P38" s="794">
        <f>SUM(P23:P37)</f>
        <v>1</v>
      </c>
      <c r="Q38" s="742"/>
      <c r="R38" s="742"/>
      <c r="S38" s="742"/>
      <c r="T38" s="742"/>
      <c r="U38" s="742"/>
      <c r="V38" s="742"/>
      <c r="W38" s="742"/>
    </row>
    <row r="39" spans="1:23" s="344" customFormat="1" ht="15.75" thickBot="1" x14ac:dyDescent="0.3">
      <c r="A39" s="372"/>
      <c r="B39" s="372"/>
      <c r="C39" s="753"/>
      <c r="D39" s="754"/>
      <c r="E39" s="753"/>
      <c r="F39" s="753"/>
      <c r="G39" s="753"/>
      <c r="H39" s="754"/>
      <c r="I39" s="753"/>
      <c r="J39" s="754"/>
      <c r="K39" s="753"/>
      <c r="L39" s="754"/>
      <c r="M39" s="753"/>
      <c r="N39" s="754"/>
      <c r="O39" s="753"/>
      <c r="P39" s="754"/>
      <c r="Q39" s="756"/>
      <c r="R39" s="756"/>
      <c r="S39" s="756"/>
      <c r="T39" s="756"/>
      <c r="U39" s="756"/>
      <c r="V39" s="756"/>
      <c r="W39" s="756"/>
    </row>
    <row r="40" spans="1:23" ht="15" customHeight="1" x14ac:dyDescent="0.25">
      <c r="A40" s="360">
        <v>12000</v>
      </c>
      <c r="B40" s="356" t="s">
        <v>5</v>
      </c>
      <c r="C40" s="742"/>
      <c r="D40" s="742"/>
      <c r="E40" s="799">
        <v>25559</v>
      </c>
      <c r="F40" s="800">
        <v>26393</v>
      </c>
      <c r="G40" s="800">
        <f>E40+F40</f>
        <v>51952</v>
      </c>
      <c r="H40" s="779">
        <f>G40/$G$55</f>
        <v>4.3567116353685952E-2</v>
      </c>
      <c r="I40" s="742"/>
      <c r="J40" s="742"/>
      <c r="K40" s="742"/>
      <c r="L40" s="856"/>
      <c r="M40" s="772"/>
      <c r="N40" s="742"/>
      <c r="O40" s="742"/>
      <c r="P40" s="742"/>
      <c r="Q40" s="799">
        <v>299539</v>
      </c>
      <c r="R40" s="779">
        <f>Q40/$Q$55</f>
        <v>9.2417985794303062E-2</v>
      </c>
      <c r="S40" s="799">
        <v>88.014166666666654</v>
      </c>
      <c r="T40" s="779">
        <f>S40/$S$55</f>
        <v>9.2331604781908272E-2</v>
      </c>
      <c r="U40" s="742"/>
      <c r="V40" s="742"/>
      <c r="W40" s="742"/>
    </row>
    <row r="41" spans="1:23" ht="15" customHeight="1" x14ac:dyDescent="0.25">
      <c r="A41" s="361">
        <v>13000</v>
      </c>
      <c r="B41" s="357" t="s">
        <v>6</v>
      </c>
      <c r="C41" s="742"/>
      <c r="D41" s="742"/>
      <c r="E41" s="803">
        <v>18935</v>
      </c>
      <c r="F41" s="804">
        <v>16054</v>
      </c>
      <c r="G41" s="804">
        <f t="shared" ref="G41:G54" si="15">E41+F41</f>
        <v>34989</v>
      </c>
      <c r="H41" s="786">
        <f t="shared" ref="H41:H54" si="16">G41/$G$55</f>
        <v>2.9341889322819486E-2</v>
      </c>
      <c r="I41" s="742"/>
      <c r="J41" s="742"/>
      <c r="K41" s="742"/>
      <c r="L41" s="856"/>
      <c r="M41" s="742"/>
      <c r="N41" s="742"/>
      <c r="O41" s="742"/>
      <c r="P41" s="742"/>
      <c r="Q41" s="803">
        <v>63241.3</v>
      </c>
      <c r="R41" s="786">
        <f t="shared" ref="R41:R54" si="17">Q41/$Q$55</f>
        <v>1.9512095470083222E-2</v>
      </c>
      <c r="S41" s="803">
        <v>26.16</v>
      </c>
      <c r="T41" s="786">
        <f t="shared" ref="T41:T54" si="18">S41/$S$55</f>
        <v>2.7443250019539133E-2</v>
      </c>
      <c r="U41" s="742"/>
      <c r="V41" s="742"/>
      <c r="W41" s="742"/>
    </row>
    <row r="42" spans="1:23" ht="15" customHeight="1" x14ac:dyDescent="0.25">
      <c r="A42" s="361">
        <v>16000</v>
      </c>
      <c r="B42" s="357" t="s">
        <v>335</v>
      </c>
      <c r="C42" s="742"/>
      <c r="D42" s="742"/>
      <c r="E42" s="803">
        <v>1539</v>
      </c>
      <c r="F42" s="804">
        <v>13930</v>
      </c>
      <c r="G42" s="804">
        <f t="shared" si="15"/>
        <v>15469</v>
      </c>
      <c r="H42" s="786">
        <f t="shared" si="16"/>
        <v>1.2972353766460734E-2</v>
      </c>
      <c r="I42" s="742"/>
      <c r="J42" s="742"/>
      <c r="K42" s="742"/>
      <c r="L42" s="856"/>
      <c r="M42" s="742"/>
      <c r="N42" s="742"/>
      <c r="O42" s="742"/>
      <c r="P42" s="742"/>
      <c r="Q42" s="803">
        <v>41052.07499999999</v>
      </c>
      <c r="R42" s="786">
        <f t="shared" si="17"/>
        <v>1.2665963644722934E-2</v>
      </c>
      <c r="S42" s="803">
        <v>36.549999999999997</v>
      </c>
      <c r="T42" s="786">
        <f t="shared" si="18"/>
        <v>3.8342920038767402E-2</v>
      </c>
      <c r="U42" s="742"/>
      <c r="V42" s="742"/>
      <c r="W42" s="742"/>
    </row>
    <row r="43" spans="1:23" ht="15" customHeight="1" x14ac:dyDescent="0.25">
      <c r="A43" s="361">
        <v>17000</v>
      </c>
      <c r="B43" s="357" t="s">
        <v>9</v>
      </c>
      <c r="C43" s="742"/>
      <c r="D43" s="742"/>
      <c r="E43" s="803">
        <v>27894</v>
      </c>
      <c r="F43" s="804">
        <v>47882</v>
      </c>
      <c r="G43" s="804">
        <f t="shared" si="15"/>
        <v>75776</v>
      </c>
      <c r="H43" s="786">
        <f t="shared" si="16"/>
        <v>6.3546000323700863E-2</v>
      </c>
      <c r="I43" s="742"/>
      <c r="J43" s="742"/>
      <c r="K43" s="742"/>
      <c r="L43" s="859"/>
      <c r="M43" s="742"/>
      <c r="N43" s="742"/>
      <c r="O43" s="742"/>
      <c r="P43" s="742"/>
      <c r="Q43" s="803">
        <v>113355</v>
      </c>
      <c r="R43" s="786">
        <f t="shared" si="17"/>
        <v>3.497387912663534E-2</v>
      </c>
      <c r="S43" s="803">
        <v>80.03</v>
      </c>
      <c r="T43" s="786">
        <f t="shared" si="18"/>
        <v>8.3955783603353096E-2</v>
      </c>
      <c r="U43" s="742"/>
      <c r="V43" s="742"/>
      <c r="W43" s="742"/>
    </row>
    <row r="44" spans="1:23" ht="15" customHeight="1" x14ac:dyDescent="0.25">
      <c r="A44" s="361">
        <v>18000</v>
      </c>
      <c r="B44" s="357" t="s">
        <v>10</v>
      </c>
      <c r="C44" s="742"/>
      <c r="D44" s="742"/>
      <c r="E44" s="803">
        <v>26478</v>
      </c>
      <c r="F44" s="804">
        <v>49933</v>
      </c>
      <c r="G44" s="804">
        <f t="shared" si="15"/>
        <v>76411</v>
      </c>
      <c r="H44" s="786">
        <f t="shared" si="16"/>
        <v>6.4078513391236089E-2</v>
      </c>
      <c r="I44" s="742"/>
      <c r="J44" s="742"/>
      <c r="K44" s="755"/>
      <c r="L44" s="345"/>
      <c r="M44" s="742"/>
      <c r="N44" s="742"/>
      <c r="O44" s="742"/>
      <c r="P44" s="742"/>
      <c r="Q44" s="803">
        <v>106611</v>
      </c>
      <c r="R44" s="786">
        <f t="shared" si="17"/>
        <v>3.2893125381057035E-2</v>
      </c>
      <c r="S44" s="803">
        <v>42.830999999999996</v>
      </c>
      <c r="T44" s="786">
        <f t="shared" si="18"/>
        <v>4.4932027583596351E-2</v>
      </c>
      <c r="U44" s="742"/>
      <c r="V44" s="742"/>
      <c r="W44" s="742"/>
    </row>
    <row r="45" spans="1:23" ht="15" customHeight="1" x14ac:dyDescent="0.25">
      <c r="A45" s="361">
        <v>19000</v>
      </c>
      <c r="B45" s="357" t="s">
        <v>11</v>
      </c>
      <c r="C45" s="742"/>
      <c r="D45" s="742"/>
      <c r="E45" s="803">
        <v>6690</v>
      </c>
      <c r="F45" s="804">
        <v>8140</v>
      </c>
      <c r="G45" s="804">
        <f t="shared" si="15"/>
        <v>14830</v>
      </c>
      <c r="H45" s="786">
        <f t="shared" si="16"/>
        <v>1.2436486285901653E-2</v>
      </c>
      <c r="I45" s="742"/>
      <c r="J45" s="742"/>
      <c r="K45" s="755"/>
      <c r="L45" s="345"/>
      <c r="M45" s="742"/>
      <c r="N45" s="742"/>
      <c r="O45" s="742"/>
      <c r="P45" s="742"/>
      <c r="Q45" s="803">
        <v>21625</v>
      </c>
      <c r="R45" s="786">
        <f t="shared" si="17"/>
        <v>6.6720491915971004E-3</v>
      </c>
      <c r="S45" s="803">
        <v>37.450000000000003</v>
      </c>
      <c r="T45" s="786">
        <f t="shared" si="18"/>
        <v>3.928706854861394E-2</v>
      </c>
      <c r="U45" s="742"/>
      <c r="V45" s="742"/>
      <c r="W45" s="742"/>
    </row>
    <row r="46" spans="1:23" ht="15" customHeight="1" x14ac:dyDescent="0.25">
      <c r="A46" s="361">
        <v>22000</v>
      </c>
      <c r="B46" s="357" t="s">
        <v>13</v>
      </c>
      <c r="C46" s="742"/>
      <c r="D46" s="742"/>
      <c r="E46" s="803">
        <v>17014</v>
      </c>
      <c r="F46" s="804">
        <v>34861</v>
      </c>
      <c r="G46" s="804">
        <f t="shared" si="15"/>
        <v>51875</v>
      </c>
      <c r="H46" s="786">
        <f t="shared" si="16"/>
        <v>4.3502543902976955E-2</v>
      </c>
      <c r="I46" s="742"/>
      <c r="J46" s="742"/>
      <c r="K46" s="856"/>
      <c r="L46" s="345"/>
      <c r="M46" s="742"/>
      <c r="N46" s="742"/>
      <c r="O46" s="742"/>
      <c r="P46" s="742"/>
      <c r="Q46" s="803">
        <v>615429.12308000005</v>
      </c>
      <c r="R46" s="786">
        <f t="shared" si="17"/>
        <v>0.18988085008699312</v>
      </c>
      <c r="S46" s="803">
        <v>92.820000000000007</v>
      </c>
      <c r="T46" s="786">
        <f t="shared" si="18"/>
        <v>9.7373182982172124E-2</v>
      </c>
      <c r="U46" s="742"/>
      <c r="V46" s="742"/>
      <c r="W46" s="742"/>
    </row>
    <row r="47" spans="1:23" ht="15" customHeight="1" x14ac:dyDescent="0.25">
      <c r="A47" s="361">
        <v>23000</v>
      </c>
      <c r="B47" s="357" t="s">
        <v>14</v>
      </c>
      <c r="C47" s="742"/>
      <c r="D47" s="742"/>
      <c r="E47" s="803">
        <v>37477</v>
      </c>
      <c r="F47" s="804">
        <v>45504</v>
      </c>
      <c r="G47" s="804">
        <f t="shared" si="15"/>
        <v>82981</v>
      </c>
      <c r="H47" s="786">
        <f t="shared" si="16"/>
        <v>6.9588136782899879E-2</v>
      </c>
      <c r="I47" s="742"/>
      <c r="J47" s="742"/>
      <c r="K47" s="856"/>
      <c r="L47" s="345"/>
      <c r="M47" s="742"/>
      <c r="N47" s="742"/>
      <c r="O47" s="742"/>
      <c r="P47" s="742"/>
      <c r="Q47" s="803">
        <v>255621</v>
      </c>
      <c r="R47" s="786">
        <f t="shared" si="17"/>
        <v>7.8867786654577679E-2</v>
      </c>
      <c r="S47" s="803">
        <v>65.179999999999993</v>
      </c>
      <c r="T47" s="786">
        <f t="shared" si="18"/>
        <v>6.8377333190885348E-2</v>
      </c>
      <c r="U47" s="742"/>
      <c r="V47" s="742"/>
      <c r="W47" s="742"/>
    </row>
    <row r="48" spans="1:23" ht="15" customHeight="1" x14ac:dyDescent="0.25">
      <c r="A48" s="361">
        <v>24000</v>
      </c>
      <c r="B48" s="357" t="s">
        <v>15</v>
      </c>
      <c r="C48" s="742"/>
      <c r="D48" s="742"/>
      <c r="E48" s="803">
        <v>17200</v>
      </c>
      <c r="F48" s="804">
        <v>38829</v>
      </c>
      <c r="G48" s="804">
        <f t="shared" si="15"/>
        <v>56029</v>
      </c>
      <c r="H48" s="786">
        <f t="shared" si="16"/>
        <v>4.6986101828238959E-2</v>
      </c>
      <c r="I48" s="742"/>
      <c r="J48" s="742"/>
      <c r="K48" s="856"/>
      <c r="L48" s="345"/>
      <c r="M48" s="742"/>
      <c r="N48" s="742"/>
      <c r="O48" s="742"/>
      <c r="P48" s="742"/>
      <c r="Q48" s="803">
        <v>117107.19656</v>
      </c>
      <c r="R48" s="786">
        <f t="shared" si="17"/>
        <v>3.6131559590212747E-2</v>
      </c>
      <c r="S48" s="803">
        <v>62.777700381679388</v>
      </c>
      <c r="T48" s="786">
        <f t="shared" si="18"/>
        <v>6.585719140772725E-2</v>
      </c>
      <c r="U48" s="742"/>
      <c r="V48" s="742"/>
      <c r="W48" s="742"/>
    </row>
    <row r="49" spans="1:23" ht="15" customHeight="1" x14ac:dyDescent="0.25">
      <c r="A49" s="361">
        <v>25000</v>
      </c>
      <c r="B49" s="357" t="s">
        <v>16</v>
      </c>
      <c r="C49" s="742"/>
      <c r="D49" s="742"/>
      <c r="E49" s="803">
        <v>16477</v>
      </c>
      <c r="F49" s="804">
        <v>30334</v>
      </c>
      <c r="G49" s="804">
        <f t="shared" si="15"/>
        <v>46811</v>
      </c>
      <c r="H49" s="786">
        <f t="shared" si="16"/>
        <v>3.9255857014790445E-2</v>
      </c>
      <c r="I49" s="742"/>
      <c r="J49" s="742"/>
      <c r="K49" s="856"/>
      <c r="L49" s="345"/>
      <c r="M49" s="742"/>
      <c r="N49" s="742"/>
      <c r="O49" s="742"/>
      <c r="P49" s="742"/>
      <c r="Q49" s="803">
        <v>152938.08707000004</v>
      </c>
      <c r="R49" s="786">
        <f t="shared" si="17"/>
        <v>4.7186609951435872E-2</v>
      </c>
      <c r="S49" s="803">
        <v>49.47</v>
      </c>
      <c r="T49" s="786">
        <f t="shared" si="18"/>
        <v>5.1896696424564258E-2</v>
      </c>
      <c r="U49" s="742"/>
      <c r="V49" s="742"/>
      <c r="W49" s="742"/>
    </row>
    <row r="50" spans="1:23" ht="15" customHeight="1" x14ac:dyDescent="0.25">
      <c r="A50" s="361">
        <v>27000</v>
      </c>
      <c r="B50" s="357" t="s">
        <v>18</v>
      </c>
      <c r="C50" s="742"/>
      <c r="D50" s="742"/>
      <c r="E50" s="803">
        <v>20948</v>
      </c>
      <c r="F50" s="804">
        <v>80264</v>
      </c>
      <c r="G50" s="804">
        <f t="shared" si="15"/>
        <v>101212</v>
      </c>
      <c r="H50" s="786">
        <f t="shared" si="16"/>
        <v>8.4876712742324889E-2</v>
      </c>
      <c r="I50" s="742"/>
      <c r="J50" s="742"/>
      <c r="K50" s="856"/>
      <c r="L50" s="345"/>
      <c r="M50" s="742"/>
      <c r="N50" s="742"/>
      <c r="O50" s="742"/>
      <c r="P50" s="742"/>
      <c r="Q50" s="803">
        <v>641350</v>
      </c>
      <c r="R50" s="786">
        <f t="shared" si="17"/>
        <v>0.19787832365460348</v>
      </c>
      <c r="S50" s="803">
        <v>71.242000000000004</v>
      </c>
      <c r="T50" s="786">
        <f t="shared" si="18"/>
        <v>7.4736697931651649E-2</v>
      </c>
      <c r="U50" s="742"/>
      <c r="V50" s="742"/>
      <c r="W50" s="742"/>
    </row>
    <row r="51" spans="1:23" ht="15" customHeight="1" x14ac:dyDescent="0.25">
      <c r="A51" s="361">
        <v>28000</v>
      </c>
      <c r="B51" s="357" t="s">
        <v>19</v>
      </c>
      <c r="C51" s="742"/>
      <c r="D51" s="742"/>
      <c r="E51" s="803">
        <v>29575</v>
      </c>
      <c r="F51" s="804">
        <v>41492</v>
      </c>
      <c r="G51" s="804">
        <f t="shared" si="15"/>
        <v>71067</v>
      </c>
      <c r="H51" s="786">
        <f t="shared" si="16"/>
        <v>5.9597017591380502E-2</v>
      </c>
      <c r="I51" s="742"/>
      <c r="J51" s="742"/>
      <c r="K51" s="856"/>
      <c r="L51" s="345"/>
      <c r="M51" s="742"/>
      <c r="N51" s="742"/>
      <c r="O51" s="742"/>
      <c r="P51" s="742"/>
      <c r="Q51" s="803">
        <v>92274</v>
      </c>
      <c r="R51" s="786">
        <f t="shared" si="17"/>
        <v>2.8469672467303159E-2</v>
      </c>
      <c r="S51" s="803">
        <v>72.974000000000004</v>
      </c>
      <c r="T51" s="786">
        <f t="shared" si="18"/>
        <v>7.6553659286156303E-2</v>
      </c>
      <c r="U51" s="742"/>
      <c r="V51" s="742"/>
      <c r="W51" s="742"/>
    </row>
    <row r="52" spans="1:23" ht="15" customHeight="1" x14ac:dyDescent="0.25">
      <c r="A52" s="361">
        <v>31000</v>
      </c>
      <c r="B52" s="357" t="s">
        <v>20</v>
      </c>
      <c r="C52" s="742"/>
      <c r="D52" s="742"/>
      <c r="E52" s="803">
        <v>105434</v>
      </c>
      <c r="F52" s="804">
        <v>130563</v>
      </c>
      <c r="G52" s="804">
        <f t="shared" si="15"/>
        <v>235997</v>
      </c>
      <c r="H52" s="786">
        <f t="shared" si="16"/>
        <v>0.19790785259702851</v>
      </c>
      <c r="I52" s="742"/>
      <c r="J52" s="742"/>
      <c r="K52" s="856"/>
      <c r="L52" s="345"/>
      <c r="M52" s="742"/>
      <c r="N52" s="742"/>
      <c r="O52" s="742"/>
      <c r="P52" s="742"/>
      <c r="Q52" s="803">
        <v>108874.39627</v>
      </c>
      <c r="R52" s="786">
        <f t="shared" si="17"/>
        <v>3.3591460236711022E-2</v>
      </c>
      <c r="S52" s="803">
        <v>38.982999999999997</v>
      </c>
      <c r="T52" s="786">
        <f t="shared" si="18"/>
        <v>4.0895268177052524E-2</v>
      </c>
      <c r="U52" s="742"/>
      <c r="V52" s="742"/>
      <c r="W52" s="742"/>
    </row>
    <row r="53" spans="1:23" ht="15" customHeight="1" x14ac:dyDescent="0.25">
      <c r="A53" s="361">
        <v>41000</v>
      </c>
      <c r="B53" s="357" t="s">
        <v>21</v>
      </c>
      <c r="C53" s="742"/>
      <c r="D53" s="742"/>
      <c r="E53" s="803">
        <v>48115</v>
      </c>
      <c r="F53" s="804">
        <v>121827</v>
      </c>
      <c r="G53" s="804">
        <f t="shared" si="15"/>
        <v>169942</v>
      </c>
      <c r="H53" s="786">
        <f t="shared" si="16"/>
        <v>0.14251391452452453</v>
      </c>
      <c r="I53" s="742"/>
      <c r="J53" s="742"/>
      <c r="K53" s="856"/>
      <c r="L53" s="345"/>
      <c r="M53" s="742"/>
      <c r="N53" s="742"/>
      <c r="O53" s="742"/>
      <c r="P53" s="742"/>
      <c r="Q53" s="803">
        <v>346190</v>
      </c>
      <c r="R53" s="786">
        <f t="shared" si="17"/>
        <v>0.10681140853821966</v>
      </c>
      <c r="S53" s="803">
        <v>126.685</v>
      </c>
      <c r="T53" s="786">
        <f t="shared" si="18"/>
        <v>0.13289939329989736</v>
      </c>
      <c r="U53" s="742"/>
      <c r="V53" s="742"/>
      <c r="W53" s="742"/>
    </row>
    <row r="54" spans="1:23" ht="15" customHeight="1" thickBot="1" x14ac:dyDescent="0.3">
      <c r="A54" s="362">
        <v>43000</v>
      </c>
      <c r="B54" s="359" t="s">
        <v>22</v>
      </c>
      <c r="C54" s="742"/>
      <c r="D54" s="742"/>
      <c r="E54" s="805">
        <v>32953</v>
      </c>
      <c r="F54" s="804">
        <v>74165</v>
      </c>
      <c r="G54" s="806">
        <f t="shared" si="15"/>
        <v>107118</v>
      </c>
      <c r="H54" s="792">
        <f t="shared" si="16"/>
        <v>8.9829503572030567E-2</v>
      </c>
      <c r="I54" s="742"/>
      <c r="J54" s="742"/>
      <c r="K54" s="856"/>
      <c r="L54" s="345"/>
      <c r="M54" s="742"/>
      <c r="N54" s="742"/>
      <c r="O54" s="742"/>
      <c r="P54" s="742"/>
      <c r="Q54" s="803">
        <v>265926</v>
      </c>
      <c r="R54" s="786">
        <f t="shared" si="17"/>
        <v>8.2047230211544531E-2</v>
      </c>
      <c r="S54" s="803">
        <v>62.073000000000008</v>
      </c>
      <c r="T54" s="786">
        <f t="shared" si="18"/>
        <v>6.5117922724115165E-2</v>
      </c>
      <c r="U54" s="742"/>
      <c r="V54" s="742"/>
      <c r="W54" s="742"/>
    </row>
    <row r="55" spans="1:23" ht="15" customHeight="1" thickBot="1" x14ac:dyDescent="0.3">
      <c r="A55" s="647">
        <v>2020</v>
      </c>
      <c r="B55" s="363" t="s">
        <v>127</v>
      </c>
      <c r="C55" s="742"/>
      <c r="D55" s="742"/>
      <c r="E55" s="807">
        <f>SUM(E40:E54)</f>
        <v>432288</v>
      </c>
      <c r="F55" s="808">
        <f>SUM(F40:F54)</f>
        <v>760171</v>
      </c>
      <c r="G55" s="808">
        <f>SUM(G40:G54)</f>
        <v>1192459</v>
      </c>
      <c r="H55" s="794">
        <f>SUM(H40:H54)</f>
        <v>1</v>
      </c>
      <c r="I55" s="742"/>
      <c r="J55" s="742"/>
      <c r="K55" s="856"/>
      <c r="L55" s="345"/>
      <c r="M55" s="742"/>
      <c r="N55" s="742"/>
      <c r="O55" s="742"/>
      <c r="P55" s="742"/>
      <c r="Q55" s="807">
        <f>SUM(Q40:Q54)</f>
        <v>3241133.1779800002</v>
      </c>
      <c r="R55" s="794">
        <f>SUM(R40:R54)</f>
        <v>0.99999999999999978</v>
      </c>
      <c r="S55" s="807">
        <f>SUM(S40:S54)</f>
        <v>953.2398670483459</v>
      </c>
      <c r="T55" s="794">
        <f>SUM(T40:T54)</f>
        <v>1.0000000000000002</v>
      </c>
      <c r="U55" s="742"/>
      <c r="V55" s="742"/>
      <c r="W55" s="742"/>
    </row>
    <row r="56" spans="1:23" ht="15" customHeight="1" thickBot="1" x14ac:dyDescent="0.3">
      <c r="A56" s="611"/>
      <c r="B56" s="611"/>
      <c r="C56" s="742"/>
      <c r="D56" s="742"/>
      <c r="E56" s="772"/>
      <c r="F56" s="772"/>
      <c r="G56" s="772"/>
      <c r="H56" s="742"/>
      <c r="I56" s="742"/>
      <c r="J56" s="742"/>
      <c r="K56" s="856"/>
      <c r="L56" s="345"/>
      <c r="M56" s="742"/>
      <c r="N56" s="742"/>
      <c r="O56" s="742"/>
      <c r="P56" s="742"/>
      <c r="Q56" s="742"/>
      <c r="R56" s="742"/>
      <c r="S56" s="742"/>
      <c r="T56" s="742"/>
      <c r="U56" s="742"/>
      <c r="V56" s="742"/>
      <c r="W56" s="742"/>
    </row>
    <row r="57" spans="1:23" ht="15" customHeight="1" x14ac:dyDescent="0.25">
      <c r="A57" s="360">
        <v>12000</v>
      </c>
      <c r="B57" s="356" t="s">
        <v>5</v>
      </c>
      <c r="C57" s="742"/>
      <c r="D57" s="742"/>
      <c r="E57" s="799">
        <v>32414</v>
      </c>
      <c r="F57" s="800">
        <v>24650</v>
      </c>
      <c r="G57" s="800">
        <f>E57+F57</f>
        <v>57064</v>
      </c>
      <c r="H57" s="779">
        <f>G57/$G$72</f>
        <v>4.3525186166581624E-2</v>
      </c>
      <c r="I57" s="742"/>
      <c r="J57" s="742"/>
      <c r="K57" s="856"/>
      <c r="L57" s="345"/>
      <c r="M57" s="742"/>
      <c r="N57" s="742"/>
      <c r="O57" s="742"/>
      <c r="P57" s="742"/>
      <c r="Q57" s="799">
        <v>256539</v>
      </c>
      <c r="R57" s="779">
        <f>Q57/$Q$72</f>
        <v>7.2269026588795249E-2</v>
      </c>
      <c r="S57" s="799">
        <v>87.69950036075042</v>
      </c>
      <c r="T57" s="779">
        <f>S57/$S$72</f>
        <v>9.9108415081286885E-2</v>
      </c>
      <c r="U57" s="742"/>
      <c r="V57" s="742"/>
      <c r="W57" s="742"/>
    </row>
    <row r="58" spans="1:23" ht="15" customHeight="1" x14ac:dyDescent="0.25">
      <c r="A58" s="361">
        <v>13000</v>
      </c>
      <c r="B58" s="357" t="s">
        <v>6</v>
      </c>
      <c r="C58" s="742"/>
      <c r="D58" s="742"/>
      <c r="E58" s="803">
        <v>25452</v>
      </c>
      <c r="F58" s="804">
        <v>19156</v>
      </c>
      <c r="G58" s="804">
        <f t="shared" ref="G58:G71" si="19">E58+F58</f>
        <v>44608</v>
      </c>
      <c r="H58" s="786">
        <f t="shared" ref="H58:H71" si="20">G58/$G$72</f>
        <v>3.4024455077086659E-2</v>
      </c>
      <c r="I58" s="742"/>
      <c r="J58" s="742"/>
      <c r="K58" s="856"/>
      <c r="L58" s="345"/>
      <c r="M58" s="742"/>
      <c r="N58" s="742"/>
      <c r="O58" s="742"/>
      <c r="P58" s="742"/>
      <c r="Q58" s="803">
        <v>81972</v>
      </c>
      <c r="R58" s="786">
        <f t="shared" ref="R58:R71" si="21">Q58/$Q$72</f>
        <v>2.3092148357702822E-2</v>
      </c>
      <c r="S58" s="803">
        <v>26.64</v>
      </c>
      <c r="T58" s="786">
        <f t="shared" ref="T58:T71" si="22">S58/$S$72</f>
        <v>3.0105623942039195E-2</v>
      </c>
      <c r="U58" s="742"/>
      <c r="V58" s="742"/>
      <c r="W58" s="742"/>
    </row>
    <row r="59" spans="1:23" ht="15" customHeight="1" x14ac:dyDescent="0.25">
      <c r="A59" s="361">
        <v>16000</v>
      </c>
      <c r="B59" s="357" t="s">
        <v>335</v>
      </c>
      <c r="C59" s="742"/>
      <c r="D59" s="742"/>
      <c r="E59" s="803">
        <v>0</v>
      </c>
      <c r="F59" s="804">
        <v>19193</v>
      </c>
      <c r="G59" s="804">
        <f t="shared" si="19"/>
        <v>19193</v>
      </c>
      <c r="H59" s="786">
        <f t="shared" si="20"/>
        <v>1.4639332996200776E-2</v>
      </c>
      <c r="I59" s="742"/>
      <c r="J59" s="742"/>
      <c r="K59" s="856"/>
      <c r="L59" s="345"/>
      <c r="M59" s="742"/>
      <c r="N59" s="742"/>
      <c r="O59" s="742"/>
      <c r="P59" s="742"/>
      <c r="Q59" s="803">
        <v>46482.251000000004</v>
      </c>
      <c r="R59" s="786">
        <f t="shared" si="21"/>
        <v>1.3094410726735719E-2</v>
      </c>
      <c r="S59" s="803">
        <v>24.9</v>
      </c>
      <c r="T59" s="786">
        <f t="shared" si="22"/>
        <v>2.8139265621500598E-2</v>
      </c>
      <c r="U59" s="742"/>
      <c r="V59" s="742"/>
      <c r="W59" s="742"/>
    </row>
    <row r="60" spans="1:23" ht="15" customHeight="1" x14ac:dyDescent="0.25">
      <c r="A60" s="361">
        <v>17000</v>
      </c>
      <c r="B60" s="357" t="s">
        <v>9</v>
      </c>
      <c r="C60" s="742"/>
      <c r="D60" s="742"/>
      <c r="E60" s="803">
        <v>26286</v>
      </c>
      <c r="F60" s="804">
        <v>41528</v>
      </c>
      <c r="G60" s="804">
        <f t="shared" si="19"/>
        <v>67814</v>
      </c>
      <c r="H60" s="786">
        <f t="shared" si="20"/>
        <v>5.1724677111674014E-2</v>
      </c>
      <c r="I60" s="742"/>
      <c r="J60" s="742"/>
      <c r="K60" s="856"/>
      <c r="L60" s="345"/>
      <c r="M60" s="742"/>
      <c r="N60" s="742"/>
      <c r="O60" s="742"/>
      <c r="P60" s="742"/>
      <c r="Q60" s="803">
        <v>109424</v>
      </c>
      <c r="R60" s="786">
        <f t="shared" si="21"/>
        <v>3.0825589736657315E-2</v>
      </c>
      <c r="S60" s="803">
        <v>76.259999999999991</v>
      </c>
      <c r="T60" s="786">
        <f t="shared" si="22"/>
        <v>8.6180738807053625E-2</v>
      </c>
      <c r="U60" s="742"/>
      <c r="V60" s="742"/>
      <c r="W60" s="742"/>
    </row>
    <row r="61" spans="1:23" ht="15" customHeight="1" x14ac:dyDescent="0.25">
      <c r="A61" s="361">
        <v>18000</v>
      </c>
      <c r="B61" s="357" t="s">
        <v>10</v>
      </c>
      <c r="C61" s="742"/>
      <c r="D61" s="742"/>
      <c r="E61" s="803">
        <v>38000</v>
      </c>
      <c r="F61" s="804">
        <v>56500</v>
      </c>
      <c r="G61" s="804">
        <f t="shared" si="19"/>
        <v>94500</v>
      </c>
      <c r="H61" s="786">
        <f t="shared" si="20"/>
        <v>7.2079245982440129E-2</v>
      </c>
      <c r="I61" s="742"/>
      <c r="J61" s="742"/>
      <c r="K61" s="856"/>
      <c r="L61" s="345"/>
      <c r="M61" s="742"/>
      <c r="N61" s="742"/>
      <c r="O61" s="742"/>
      <c r="P61" s="742"/>
      <c r="Q61" s="803">
        <v>77459</v>
      </c>
      <c r="R61" s="786">
        <f t="shared" si="21"/>
        <v>2.1820801244806797E-2</v>
      </c>
      <c r="S61" s="803">
        <v>37.130000000000003</v>
      </c>
      <c r="T61" s="786">
        <f t="shared" si="22"/>
        <v>4.196027841471154E-2</v>
      </c>
      <c r="U61" s="742"/>
      <c r="V61" s="742"/>
      <c r="W61" s="742"/>
    </row>
    <row r="62" spans="1:23" ht="15" customHeight="1" x14ac:dyDescent="0.25">
      <c r="A62" s="361">
        <v>19000</v>
      </c>
      <c r="B62" s="357" t="s">
        <v>11</v>
      </c>
      <c r="C62" s="742"/>
      <c r="D62" s="742"/>
      <c r="E62" s="803">
        <v>9665</v>
      </c>
      <c r="F62" s="804">
        <v>6523</v>
      </c>
      <c r="G62" s="804">
        <f t="shared" si="19"/>
        <v>16188</v>
      </c>
      <c r="H62" s="786">
        <f t="shared" si="20"/>
        <v>1.2347289248293553E-2</v>
      </c>
      <c r="I62" s="742"/>
      <c r="J62" s="742"/>
      <c r="K62" s="856"/>
      <c r="L62" s="755"/>
      <c r="M62" s="742"/>
      <c r="N62" s="742"/>
      <c r="O62" s="742"/>
      <c r="P62" s="742"/>
      <c r="Q62" s="803">
        <v>27009</v>
      </c>
      <c r="R62" s="786">
        <f t="shared" si="21"/>
        <v>7.6086448420582091E-3</v>
      </c>
      <c r="S62" s="803">
        <v>32.795999999999999</v>
      </c>
      <c r="T62" s="786">
        <f t="shared" si="22"/>
        <v>3.7062464069186091E-2</v>
      </c>
      <c r="U62" s="742"/>
      <c r="V62" s="742"/>
      <c r="W62" s="742"/>
    </row>
    <row r="63" spans="1:23" ht="15" customHeight="1" x14ac:dyDescent="0.25">
      <c r="A63" s="361">
        <v>22000</v>
      </c>
      <c r="B63" s="357" t="s">
        <v>13</v>
      </c>
      <c r="C63" s="742"/>
      <c r="D63" s="742"/>
      <c r="E63" s="803">
        <v>16577</v>
      </c>
      <c r="F63" s="804">
        <v>39567</v>
      </c>
      <c r="G63" s="804">
        <f t="shared" si="19"/>
        <v>56144</v>
      </c>
      <c r="H63" s="786">
        <f t="shared" si="20"/>
        <v>4.2823462290350459E-2</v>
      </c>
      <c r="I63" s="742"/>
      <c r="J63" s="742"/>
      <c r="K63" s="856"/>
      <c r="L63" s="755"/>
      <c r="M63" s="742"/>
      <c r="N63" s="742"/>
      <c r="O63" s="742"/>
      <c r="P63" s="742"/>
      <c r="Q63" s="803">
        <v>626372.77730000007</v>
      </c>
      <c r="R63" s="786">
        <f t="shared" si="21"/>
        <v>0.17645407091004187</v>
      </c>
      <c r="S63" s="803">
        <v>100.79999999999998</v>
      </c>
      <c r="T63" s="786">
        <f t="shared" si="22"/>
        <v>0.11391317167258071</v>
      </c>
      <c r="U63" s="742"/>
      <c r="V63" s="742"/>
      <c r="W63" s="742"/>
    </row>
    <row r="64" spans="1:23" ht="15" customHeight="1" x14ac:dyDescent="0.25">
      <c r="A64" s="361">
        <v>23000</v>
      </c>
      <c r="B64" s="357" t="s">
        <v>14</v>
      </c>
      <c r="C64" s="742"/>
      <c r="D64" s="742"/>
      <c r="E64" s="803">
        <v>40729</v>
      </c>
      <c r="F64" s="804">
        <v>48356</v>
      </c>
      <c r="G64" s="804">
        <f t="shared" si="19"/>
        <v>89085</v>
      </c>
      <c r="H64" s="786">
        <f t="shared" si="20"/>
        <v>6.7948990776144746E-2</v>
      </c>
      <c r="I64" s="742"/>
      <c r="J64" s="742"/>
      <c r="K64" s="856"/>
      <c r="L64" s="755"/>
      <c r="M64" s="742"/>
      <c r="N64" s="742"/>
      <c r="O64" s="742"/>
      <c r="P64" s="742"/>
      <c r="Q64" s="803">
        <v>333831</v>
      </c>
      <c r="R64" s="786">
        <f t="shared" si="21"/>
        <v>9.4042782637977482E-2</v>
      </c>
      <c r="S64" s="803">
        <v>69.490000000000009</v>
      </c>
      <c r="T64" s="786">
        <f t="shared" si="22"/>
        <v>7.8530022812774172E-2</v>
      </c>
      <c r="U64" s="742"/>
      <c r="V64" s="742"/>
      <c r="W64" s="742"/>
    </row>
    <row r="65" spans="1:23" ht="15" customHeight="1" x14ac:dyDescent="0.25">
      <c r="A65" s="361">
        <v>24000</v>
      </c>
      <c r="B65" s="357" t="s">
        <v>15</v>
      </c>
      <c r="C65" s="742"/>
      <c r="D65" s="742"/>
      <c r="E65" s="803">
        <v>21819</v>
      </c>
      <c r="F65" s="804">
        <v>40191</v>
      </c>
      <c r="G65" s="804">
        <f t="shared" si="19"/>
        <v>62010</v>
      </c>
      <c r="H65" s="786">
        <f t="shared" si="20"/>
        <v>4.7297714744667853E-2</v>
      </c>
      <c r="I65" s="742"/>
      <c r="J65" s="742"/>
      <c r="K65" s="856"/>
      <c r="L65" s="755"/>
      <c r="M65" s="742"/>
      <c r="N65" s="742"/>
      <c r="O65" s="742"/>
      <c r="P65" s="742"/>
      <c r="Q65" s="803">
        <v>166569.09890000001</v>
      </c>
      <c r="R65" s="786">
        <f t="shared" si="21"/>
        <v>4.6923807441659034E-2</v>
      </c>
      <c r="S65" s="803">
        <v>55.709999999999994</v>
      </c>
      <c r="T65" s="786">
        <f t="shared" si="22"/>
        <v>6.295736898689952E-2</v>
      </c>
      <c r="U65" s="742"/>
      <c r="V65" s="742"/>
      <c r="W65" s="742"/>
    </row>
    <row r="66" spans="1:23" ht="15" customHeight="1" x14ac:dyDescent="0.25">
      <c r="A66" s="361">
        <v>25000</v>
      </c>
      <c r="B66" s="357" t="s">
        <v>16</v>
      </c>
      <c r="C66" s="742"/>
      <c r="D66" s="742"/>
      <c r="E66" s="803">
        <v>22462</v>
      </c>
      <c r="F66" s="804">
        <v>36550</v>
      </c>
      <c r="G66" s="804">
        <f t="shared" si="19"/>
        <v>59012</v>
      </c>
      <c r="H66" s="786">
        <f t="shared" si="20"/>
        <v>4.5011010200166734E-2</v>
      </c>
      <c r="I66" s="742"/>
      <c r="J66" s="742"/>
      <c r="K66" s="856"/>
      <c r="L66" s="755"/>
      <c r="M66" s="742"/>
      <c r="N66" s="742"/>
      <c r="O66" s="742"/>
      <c r="P66" s="742"/>
      <c r="Q66" s="803">
        <v>152715.82169000001</v>
      </c>
      <c r="R66" s="786">
        <f t="shared" si="21"/>
        <v>4.30212317746788E-2</v>
      </c>
      <c r="S66" s="803">
        <v>36.94</v>
      </c>
      <c r="T66" s="786">
        <f t="shared" si="22"/>
        <v>4.1745561126836625E-2</v>
      </c>
      <c r="U66" s="742"/>
      <c r="V66" s="742"/>
      <c r="W66" s="742"/>
    </row>
    <row r="67" spans="1:23" ht="15" customHeight="1" x14ac:dyDescent="0.25">
      <c r="A67" s="361">
        <v>27000</v>
      </c>
      <c r="B67" s="357" t="s">
        <v>18</v>
      </c>
      <c r="C67" s="742"/>
      <c r="D67" s="742"/>
      <c r="E67" s="803">
        <v>29283</v>
      </c>
      <c r="F67" s="804">
        <v>86228</v>
      </c>
      <c r="G67" s="804">
        <f t="shared" si="19"/>
        <v>115511</v>
      </c>
      <c r="H67" s="786">
        <f t="shared" si="20"/>
        <v>8.8105246377541177E-2</v>
      </c>
      <c r="I67" s="742"/>
      <c r="J67" s="742"/>
      <c r="K67" s="856"/>
      <c r="L67" s="755"/>
      <c r="M67" s="742"/>
      <c r="N67" s="742"/>
      <c r="O67" s="742"/>
      <c r="P67" s="742"/>
      <c r="Q67" s="803">
        <v>860089</v>
      </c>
      <c r="R67" s="786">
        <f t="shared" si="21"/>
        <v>0.24229374406905116</v>
      </c>
      <c r="S67" s="803">
        <v>63.196000000000005</v>
      </c>
      <c r="T67" s="786">
        <f t="shared" si="22"/>
        <v>7.1417230129170756E-2</v>
      </c>
      <c r="U67" s="742"/>
      <c r="V67" s="742"/>
      <c r="W67" s="742"/>
    </row>
    <row r="68" spans="1:23" ht="15" customHeight="1" x14ac:dyDescent="0.25">
      <c r="A68" s="361">
        <v>28000</v>
      </c>
      <c r="B68" s="357" t="s">
        <v>19</v>
      </c>
      <c r="C68" s="742"/>
      <c r="D68" s="742"/>
      <c r="E68" s="803">
        <v>31772</v>
      </c>
      <c r="F68" s="804">
        <v>41398</v>
      </c>
      <c r="G68" s="804">
        <f t="shared" si="19"/>
        <v>73170</v>
      </c>
      <c r="H68" s="786">
        <f t="shared" si="20"/>
        <v>5.5809930460689355E-2</v>
      </c>
      <c r="I68" s="742"/>
      <c r="J68" s="742"/>
      <c r="K68" s="856"/>
      <c r="L68" s="755"/>
      <c r="M68" s="742"/>
      <c r="N68" s="742"/>
      <c r="O68" s="742"/>
      <c r="P68" s="742"/>
      <c r="Q68" s="803">
        <v>116528</v>
      </c>
      <c r="R68" s="786">
        <f t="shared" si="21"/>
        <v>3.2826841651129583E-2</v>
      </c>
      <c r="S68" s="803">
        <v>73.295999999999992</v>
      </c>
      <c r="T68" s="786">
        <f t="shared" si="22"/>
        <v>8.2831149116205122E-2</v>
      </c>
      <c r="U68" s="742"/>
      <c r="V68" s="742"/>
      <c r="W68" s="742"/>
    </row>
    <row r="69" spans="1:23" ht="15" customHeight="1" x14ac:dyDescent="0.25">
      <c r="A69" s="361">
        <v>31000</v>
      </c>
      <c r="B69" s="357" t="s">
        <v>20</v>
      </c>
      <c r="C69" s="742"/>
      <c r="D69" s="742"/>
      <c r="E69" s="803">
        <v>112418</v>
      </c>
      <c r="F69" s="804">
        <v>134557</v>
      </c>
      <c r="G69" s="804">
        <f t="shared" si="19"/>
        <v>246975</v>
      </c>
      <c r="H69" s="786">
        <f t="shared" si="20"/>
        <v>0.18837853731759946</v>
      </c>
      <c r="I69" s="742"/>
      <c r="J69" s="742"/>
      <c r="K69" s="856"/>
      <c r="L69" s="755"/>
      <c r="M69" s="742"/>
      <c r="N69" s="742"/>
      <c r="O69" s="742"/>
      <c r="P69" s="742"/>
      <c r="Q69" s="803">
        <v>119714.04189000001</v>
      </c>
      <c r="R69" s="786">
        <f t="shared" si="21"/>
        <v>3.3724374369591206E-2</v>
      </c>
      <c r="S69" s="803">
        <v>43.692</v>
      </c>
      <c r="T69" s="786">
        <f t="shared" si="22"/>
        <v>4.9375935483317437E-2</v>
      </c>
      <c r="U69" s="742"/>
      <c r="V69" s="742"/>
      <c r="W69" s="742"/>
    </row>
    <row r="70" spans="1:23" ht="15" customHeight="1" x14ac:dyDescent="0.25">
      <c r="A70" s="361">
        <v>41000</v>
      </c>
      <c r="B70" s="357" t="s">
        <v>21</v>
      </c>
      <c r="C70" s="742"/>
      <c r="D70" s="742"/>
      <c r="E70" s="803">
        <v>59734</v>
      </c>
      <c r="F70" s="804">
        <v>131615</v>
      </c>
      <c r="G70" s="804">
        <f t="shared" si="19"/>
        <v>191349</v>
      </c>
      <c r="H70" s="786">
        <f t="shared" si="20"/>
        <v>0.14595017607930089</v>
      </c>
      <c r="I70" s="742"/>
      <c r="J70" s="742"/>
      <c r="K70" s="755"/>
      <c r="L70" s="755"/>
      <c r="M70" s="742"/>
      <c r="N70" s="742"/>
      <c r="O70" s="742"/>
      <c r="P70" s="742"/>
      <c r="Q70" s="803">
        <v>321354</v>
      </c>
      <c r="R70" s="786">
        <f t="shared" si="21"/>
        <v>9.0527914938530629E-2</v>
      </c>
      <c r="S70" s="803">
        <v>109.22000000000001</v>
      </c>
      <c r="T70" s="786">
        <f t="shared" si="22"/>
        <v>0.12342853779840544</v>
      </c>
      <c r="U70" s="742"/>
      <c r="V70" s="742"/>
      <c r="W70" s="742"/>
    </row>
    <row r="71" spans="1:23" ht="15" customHeight="1" thickBot="1" x14ac:dyDescent="0.3">
      <c r="A71" s="362">
        <v>43000</v>
      </c>
      <c r="B71" s="359" t="s">
        <v>22</v>
      </c>
      <c r="C71" s="742"/>
      <c r="D71" s="742"/>
      <c r="E71" s="805">
        <v>35802</v>
      </c>
      <c r="F71" s="804">
        <v>82632</v>
      </c>
      <c r="G71" s="806">
        <f t="shared" si="19"/>
        <v>118434</v>
      </c>
      <c r="H71" s="792">
        <f t="shared" si="20"/>
        <v>9.0334745171262582E-2</v>
      </c>
      <c r="I71" s="742"/>
      <c r="J71" s="742"/>
      <c r="K71" s="755"/>
      <c r="L71" s="755"/>
      <c r="M71" s="742"/>
      <c r="N71" s="742"/>
      <c r="O71" s="742"/>
      <c r="P71" s="742"/>
      <c r="Q71" s="803">
        <v>253719</v>
      </c>
      <c r="R71" s="786">
        <f t="shared" si="21"/>
        <v>7.1474610710584127E-2</v>
      </c>
      <c r="S71" s="803">
        <v>47.114999999999995</v>
      </c>
      <c r="T71" s="786">
        <f t="shared" si="22"/>
        <v>5.3244236938032152E-2</v>
      </c>
      <c r="U71" s="742"/>
      <c r="V71" s="742"/>
      <c r="W71" s="742"/>
    </row>
    <row r="72" spans="1:23" ht="15" customHeight="1" thickBot="1" x14ac:dyDescent="0.3">
      <c r="A72" s="647">
        <v>2019</v>
      </c>
      <c r="B72" s="363" t="s">
        <v>127</v>
      </c>
      <c r="C72" s="742"/>
      <c r="D72" s="742"/>
      <c r="E72" s="807">
        <f>SUM(E57:E71)</f>
        <v>502413</v>
      </c>
      <c r="F72" s="808">
        <f>SUM(F57:F71)</f>
        <v>808644</v>
      </c>
      <c r="G72" s="808">
        <f>SUM(G57:G71)</f>
        <v>1311057</v>
      </c>
      <c r="H72" s="794">
        <f>SUM(H57:H71)</f>
        <v>1</v>
      </c>
      <c r="I72" s="742"/>
      <c r="J72" s="742"/>
      <c r="K72" s="755"/>
      <c r="L72" s="755"/>
      <c r="M72" s="742"/>
      <c r="N72" s="742"/>
      <c r="O72" s="742"/>
      <c r="P72" s="742"/>
      <c r="Q72" s="807">
        <f>SUM(Q57:Q71)</f>
        <v>3549777.9907800001</v>
      </c>
      <c r="R72" s="794">
        <f>SUM(R57:R71)</f>
        <v>0.99999999999999989</v>
      </c>
      <c r="S72" s="807">
        <f>SUM(S57:S71)</f>
        <v>884.88450036075051</v>
      </c>
      <c r="T72" s="794">
        <f>SUM(T57:T71)</f>
        <v>0.99999999999999989</v>
      </c>
      <c r="U72" s="742"/>
      <c r="V72" s="742"/>
      <c r="W72" s="742"/>
    </row>
    <row r="73" spans="1:23" ht="15" customHeight="1" thickBot="1" x14ac:dyDescent="0.3">
      <c r="A73" s="611"/>
      <c r="B73" s="611"/>
      <c r="C73" s="742"/>
      <c r="D73" s="742"/>
      <c r="E73" s="772"/>
      <c r="F73" s="772"/>
      <c r="G73" s="772"/>
      <c r="H73" s="742"/>
      <c r="I73" s="742"/>
      <c r="J73" s="742"/>
      <c r="K73" s="755"/>
      <c r="L73" s="755"/>
      <c r="M73" s="742"/>
      <c r="N73" s="742"/>
      <c r="O73" s="742"/>
      <c r="P73" s="742"/>
      <c r="Q73" s="742"/>
      <c r="R73" s="742"/>
      <c r="S73" s="742"/>
      <c r="T73" s="742"/>
      <c r="U73" s="742"/>
      <c r="V73" s="742"/>
      <c r="W73" s="742"/>
    </row>
    <row r="74" spans="1:23" ht="15" customHeight="1" x14ac:dyDescent="0.25">
      <c r="A74" s="360">
        <v>12000</v>
      </c>
      <c r="B74" s="356" t="s">
        <v>5</v>
      </c>
      <c r="C74" s="742"/>
      <c r="D74" s="742"/>
      <c r="E74" s="742"/>
      <c r="F74" s="742"/>
      <c r="G74" s="742"/>
      <c r="H74" s="742"/>
      <c r="I74" s="742"/>
      <c r="J74" s="742"/>
      <c r="K74" s="755"/>
      <c r="L74" s="755"/>
      <c r="M74" s="742"/>
      <c r="N74" s="742"/>
      <c r="O74" s="742"/>
      <c r="P74" s="742"/>
      <c r="Q74" s="799">
        <v>235590</v>
      </c>
      <c r="R74" s="779">
        <f>Q74/$Q$89</f>
        <v>7.9932175953452811E-2</v>
      </c>
      <c r="S74" s="799">
        <v>80.851666666666674</v>
      </c>
      <c r="T74" s="779">
        <f>S74/$S$89</f>
        <v>0.10614410041326862</v>
      </c>
      <c r="U74" s="742"/>
      <c r="V74" s="742"/>
      <c r="W74" s="742"/>
    </row>
    <row r="75" spans="1:23" ht="15" customHeight="1" x14ac:dyDescent="0.25">
      <c r="A75" s="361">
        <v>13000</v>
      </c>
      <c r="B75" s="357" t="s">
        <v>6</v>
      </c>
      <c r="C75" s="742"/>
      <c r="D75" s="742"/>
      <c r="E75" s="742"/>
      <c r="F75" s="742"/>
      <c r="G75" s="742"/>
      <c r="H75" s="742"/>
      <c r="I75" s="742"/>
      <c r="J75" s="742"/>
      <c r="K75" s="755"/>
      <c r="L75" s="755"/>
      <c r="M75" s="742"/>
      <c r="N75" s="742"/>
      <c r="O75" s="742"/>
      <c r="P75" s="742"/>
      <c r="Q75" s="803">
        <v>91942</v>
      </c>
      <c r="R75" s="786">
        <f t="shared" ref="R75:R88" si="23">Q75/$Q$89</f>
        <v>3.1194550369338082E-2</v>
      </c>
      <c r="S75" s="803">
        <v>26.129999999999995</v>
      </c>
      <c r="T75" s="786">
        <f t="shared" ref="T75:T88" si="24">S75/$S$89</f>
        <v>3.4304120844328607E-2</v>
      </c>
      <c r="U75" s="742"/>
      <c r="V75" s="742"/>
      <c r="W75" s="742"/>
    </row>
    <row r="76" spans="1:23" ht="15" customHeight="1" x14ac:dyDescent="0.25">
      <c r="A76" s="361">
        <v>16000</v>
      </c>
      <c r="B76" s="357" t="s">
        <v>335</v>
      </c>
      <c r="C76" s="742"/>
      <c r="D76" s="742"/>
      <c r="E76" s="742"/>
      <c r="F76" s="742"/>
      <c r="G76" s="742"/>
      <c r="H76" s="742"/>
      <c r="I76" s="742"/>
      <c r="J76" s="742"/>
      <c r="K76" s="742"/>
      <c r="L76" s="742"/>
      <c r="M76" s="742"/>
      <c r="N76" s="742"/>
      <c r="O76" s="742"/>
      <c r="P76" s="742"/>
      <c r="Q76" s="803">
        <v>40776.813999999998</v>
      </c>
      <c r="R76" s="786">
        <f t="shared" si="23"/>
        <v>1.3834965284898417E-2</v>
      </c>
      <c r="S76" s="803">
        <v>29.750000000000004</v>
      </c>
      <c r="T76" s="786">
        <f t="shared" si="24"/>
        <v>3.9056547842279993E-2</v>
      </c>
      <c r="U76" s="742"/>
      <c r="V76" s="742"/>
      <c r="W76" s="742"/>
    </row>
    <row r="77" spans="1:23" ht="15" customHeight="1" x14ac:dyDescent="0.25">
      <c r="A77" s="361">
        <v>17000</v>
      </c>
      <c r="B77" s="357" t="s">
        <v>9</v>
      </c>
      <c r="C77" s="742"/>
      <c r="D77" s="742"/>
      <c r="E77" s="742"/>
      <c r="F77" s="742"/>
      <c r="G77" s="742"/>
      <c r="H77" s="742"/>
      <c r="I77" s="742"/>
      <c r="J77" s="742"/>
      <c r="K77" s="742"/>
      <c r="L77" s="742"/>
      <c r="M77" s="742"/>
      <c r="N77" s="742"/>
      <c r="O77" s="742"/>
      <c r="P77" s="742"/>
      <c r="Q77" s="803">
        <v>100643</v>
      </c>
      <c r="R77" s="786">
        <f t="shared" si="23"/>
        <v>3.4146669996533603E-2</v>
      </c>
      <c r="S77" s="803">
        <v>62.730000000000004</v>
      </c>
      <c r="T77" s="786">
        <f t="shared" si="24"/>
        <v>8.2353520878864675E-2</v>
      </c>
      <c r="U77" s="742"/>
      <c r="V77" s="742"/>
      <c r="W77" s="742"/>
    </row>
    <row r="78" spans="1:23" ht="15" customHeight="1" x14ac:dyDescent="0.25">
      <c r="A78" s="361">
        <v>18000</v>
      </c>
      <c r="B78" s="357" t="s">
        <v>10</v>
      </c>
      <c r="C78" s="742"/>
      <c r="D78" s="742"/>
      <c r="E78" s="742"/>
      <c r="F78" s="742"/>
      <c r="G78" s="742"/>
      <c r="H78" s="742"/>
      <c r="I78" s="742"/>
      <c r="J78" s="742"/>
      <c r="K78" s="742"/>
      <c r="L78" s="742"/>
      <c r="M78" s="742"/>
      <c r="N78" s="742"/>
      <c r="O78" s="742"/>
      <c r="P78" s="742"/>
      <c r="Q78" s="803">
        <v>69549</v>
      </c>
      <c r="R78" s="786">
        <f t="shared" si="23"/>
        <v>2.3596939196853389E-2</v>
      </c>
      <c r="S78" s="803">
        <v>30.63</v>
      </c>
      <c r="T78" s="786">
        <f t="shared" si="24"/>
        <v>4.0211833963328947E-2</v>
      </c>
      <c r="U78" s="742"/>
      <c r="V78" s="742"/>
      <c r="W78" s="742"/>
    </row>
    <row r="79" spans="1:23" ht="15" customHeight="1" x14ac:dyDescent="0.25">
      <c r="A79" s="361">
        <v>19000</v>
      </c>
      <c r="B79" s="357" t="s">
        <v>11</v>
      </c>
      <c r="C79" s="742"/>
      <c r="D79" s="742"/>
      <c r="E79" s="742"/>
      <c r="F79" s="742"/>
      <c r="G79" s="742"/>
      <c r="H79" s="742"/>
      <c r="I79" s="742"/>
      <c r="J79" s="742"/>
      <c r="K79" s="742"/>
      <c r="L79" s="742"/>
      <c r="M79" s="742"/>
      <c r="N79" s="742"/>
      <c r="O79" s="742"/>
      <c r="P79" s="742"/>
      <c r="Q79" s="803">
        <v>26305</v>
      </c>
      <c r="R79" s="786">
        <f t="shared" si="23"/>
        <v>8.9248944711387418E-3</v>
      </c>
      <c r="S79" s="803">
        <v>30.313000000000002</v>
      </c>
      <c r="T79" s="786">
        <f t="shared" si="24"/>
        <v>3.9795668394723815E-2</v>
      </c>
      <c r="U79" s="742"/>
      <c r="V79" s="742"/>
      <c r="W79" s="742"/>
    </row>
    <row r="80" spans="1:23" ht="15" customHeight="1" x14ac:dyDescent="0.25">
      <c r="A80" s="361">
        <v>22000</v>
      </c>
      <c r="B80" s="357" t="s">
        <v>13</v>
      </c>
      <c r="C80" s="742"/>
      <c r="D80" s="742"/>
      <c r="E80" s="742"/>
      <c r="F80" s="742"/>
      <c r="G80" s="742"/>
      <c r="H80" s="742"/>
      <c r="I80" s="742"/>
      <c r="J80" s="742"/>
      <c r="K80" s="742"/>
      <c r="L80" s="742"/>
      <c r="M80" s="742"/>
      <c r="N80" s="742"/>
      <c r="O80" s="742"/>
      <c r="P80" s="742"/>
      <c r="Q80" s="803">
        <v>522210</v>
      </c>
      <c r="R80" s="786">
        <f t="shared" si="23"/>
        <v>0.17717807039625025</v>
      </c>
      <c r="S80" s="803">
        <v>92.33</v>
      </c>
      <c r="T80" s="786">
        <f t="shared" si="24"/>
        <v>0.12121314495051132</v>
      </c>
      <c r="U80" s="742"/>
      <c r="V80" s="742"/>
      <c r="W80" s="742"/>
    </row>
    <row r="81" spans="1:23" ht="15" customHeight="1" x14ac:dyDescent="0.25">
      <c r="A81" s="361">
        <v>23000</v>
      </c>
      <c r="B81" s="357" t="s">
        <v>14</v>
      </c>
      <c r="C81" s="742"/>
      <c r="D81" s="742"/>
      <c r="E81" s="742"/>
      <c r="F81" s="742"/>
      <c r="G81" s="742"/>
      <c r="H81" s="742"/>
      <c r="I81" s="742"/>
      <c r="J81" s="742"/>
      <c r="K81" s="742"/>
      <c r="L81" s="742"/>
      <c r="M81" s="742"/>
      <c r="N81" s="742"/>
      <c r="O81" s="742"/>
      <c r="P81" s="742"/>
      <c r="Q81" s="803">
        <v>326709</v>
      </c>
      <c r="R81" s="786">
        <f t="shared" si="23"/>
        <v>0.11084749468813029</v>
      </c>
      <c r="S81" s="803">
        <v>52.57</v>
      </c>
      <c r="T81" s="786">
        <f t="shared" si="24"/>
        <v>6.9015217481299462E-2</v>
      </c>
      <c r="U81" s="742"/>
      <c r="V81" s="742"/>
      <c r="W81" s="742"/>
    </row>
    <row r="82" spans="1:23" ht="15" customHeight="1" x14ac:dyDescent="0.25">
      <c r="A82" s="361">
        <v>24000</v>
      </c>
      <c r="B82" s="357" t="s">
        <v>15</v>
      </c>
      <c r="C82" s="742"/>
      <c r="D82" s="742"/>
      <c r="E82" s="742"/>
      <c r="F82" s="742"/>
      <c r="G82" s="742"/>
      <c r="H82" s="742"/>
      <c r="I82" s="742"/>
      <c r="J82" s="742"/>
      <c r="K82" s="742"/>
      <c r="L82" s="742"/>
      <c r="M82" s="742"/>
      <c r="N82" s="742"/>
      <c r="O82" s="742"/>
      <c r="P82" s="742"/>
      <c r="Q82" s="803">
        <v>168806.88660000003</v>
      </c>
      <c r="R82" s="786">
        <f t="shared" si="23"/>
        <v>5.7273660859398778E-2</v>
      </c>
      <c r="S82" s="803">
        <v>44.78</v>
      </c>
      <c r="T82" s="786">
        <f t="shared" si="24"/>
        <v>5.8788309659741113E-2</v>
      </c>
      <c r="U82" s="742"/>
      <c r="V82" s="742"/>
      <c r="W82" s="742"/>
    </row>
    <row r="83" spans="1:23" ht="15" customHeight="1" x14ac:dyDescent="0.25">
      <c r="A83" s="361">
        <v>25000</v>
      </c>
      <c r="B83" s="357" t="s">
        <v>16</v>
      </c>
      <c r="C83" s="742"/>
      <c r="D83" s="742"/>
      <c r="E83" s="742"/>
      <c r="F83" s="742"/>
      <c r="G83" s="742"/>
      <c r="H83" s="742"/>
      <c r="I83" s="742"/>
      <c r="J83" s="742"/>
      <c r="K83" s="742"/>
      <c r="L83" s="742"/>
      <c r="M83" s="742"/>
      <c r="N83" s="742"/>
      <c r="O83" s="742"/>
      <c r="P83" s="742"/>
      <c r="Q83" s="803">
        <v>148622.1</v>
      </c>
      <c r="R83" s="786">
        <f t="shared" si="23"/>
        <v>5.0425263584072587E-2</v>
      </c>
      <c r="S83" s="803">
        <v>34.51</v>
      </c>
      <c r="T83" s="786">
        <f t="shared" si="24"/>
        <v>4.5305595497044784E-2</v>
      </c>
      <c r="U83" s="742"/>
      <c r="V83" s="742"/>
      <c r="W83" s="742"/>
    </row>
    <row r="84" spans="1:23" ht="15" customHeight="1" x14ac:dyDescent="0.25">
      <c r="A84" s="361">
        <v>27000</v>
      </c>
      <c r="B84" s="357" t="s">
        <v>18</v>
      </c>
      <c r="C84" s="742"/>
      <c r="D84" s="742"/>
      <c r="E84" s="742"/>
      <c r="F84" s="742"/>
      <c r="G84" s="742"/>
      <c r="H84" s="742"/>
      <c r="I84" s="742"/>
      <c r="J84" s="742"/>
      <c r="K84" s="742"/>
      <c r="L84" s="742"/>
      <c r="M84" s="742"/>
      <c r="N84" s="742"/>
      <c r="O84" s="742"/>
      <c r="P84" s="742"/>
      <c r="Q84" s="803">
        <v>516460</v>
      </c>
      <c r="R84" s="786">
        <f t="shared" si="23"/>
        <v>0.17522718108969074</v>
      </c>
      <c r="S84" s="803">
        <v>50.350999999999999</v>
      </c>
      <c r="T84" s="786">
        <f t="shared" si="24"/>
        <v>6.6102058501063529E-2</v>
      </c>
      <c r="U84" s="742"/>
      <c r="V84" s="742"/>
      <c r="W84" s="742"/>
    </row>
    <row r="85" spans="1:23" ht="15" customHeight="1" x14ac:dyDescent="0.25">
      <c r="A85" s="361">
        <v>28000</v>
      </c>
      <c r="B85" s="357" t="s">
        <v>19</v>
      </c>
      <c r="C85" s="742"/>
      <c r="D85" s="742"/>
      <c r="E85" s="742"/>
      <c r="F85" s="742"/>
      <c r="G85" s="742"/>
      <c r="H85" s="742"/>
      <c r="I85" s="742"/>
      <c r="J85" s="742"/>
      <c r="K85" s="742"/>
      <c r="L85" s="742"/>
      <c r="M85" s="742"/>
      <c r="N85" s="742"/>
      <c r="O85" s="742"/>
      <c r="P85" s="742"/>
      <c r="Q85" s="803">
        <v>104587</v>
      </c>
      <c r="R85" s="786">
        <f t="shared" si="23"/>
        <v>3.548481041828503E-2</v>
      </c>
      <c r="S85" s="803">
        <v>73.356000000000009</v>
      </c>
      <c r="T85" s="786">
        <f t="shared" si="24"/>
        <v>9.6303600790530797E-2</v>
      </c>
      <c r="U85" s="742"/>
      <c r="V85" s="742"/>
      <c r="W85" s="742"/>
    </row>
    <row r="86" spans="1:23" ht="15" customHeight="1" x14ac:dyDescent="0.25">
      <c r="A86" s="361">
        <v>31000</v>
      </c>
      <c r="B86" s="357" t="s">
        <v>20</v>
      </c>
      <c r="C86" s="742"/>
      <c r="D86" s="742"/>
      <c r="E86" s="742"/>
      <c r="F86" s="742"/>
      <c r="G86" s="742"/>
      <c r="H86" s="742"/>
      <c r="I86" s="742"/>
      <c r="J86" s="742"/>
      <c r="K86" s="742"/>
      <c r="L86" s="742"/>
      <c r="M86" s="742"/>
      <c r="N86" s="742"/>
      <c r="O86" s="742"/>
      <c r="P86" s="742"/>
      <c r="Q86" s="803">
        <v>123722.24492000001</v>
      </c>
      <c r="R86" s="786">
        <f t="shared" si="23"/>
        <v>4.1977113843124178E-2</v>
      </c>
      <c r="S86" s="803">
        <v>32.452399999999997</v>
      </c>
      <c r="T86" s="786">
        <f t="shared" si="24"/>
        <v>4.2604326494010324E-2</v>
      </c>
      <c r="U86" s="742"/>
      <c r="V86" s="742"/>
      <c r="W86" s="742"/>
    </row>
    <row r="87" spans="1:23" ht="15" customHeight="1" x14ac:dyDescent="0.25">
      <c r="A87" s="361">
        <v>41000</v>
      </c>
      <c r="B87" s="357" t="s">
        <v>21</v>
      </c>
      <c r="C87" s="742"/>
      <c r="D87" s="742"/>
      <c r="E87" s="742"/>
      <c r="F87" s="742"/>
      <c r="G87" s="742"/>
      <c r="H87" s="742"/>
      <c r="I87" s="742"/>
      <c r="J87" s="742"/>
      <c r="K87" s="742"/>
      <c r="L87" s="742"/>
      <c r="M87" s="742"/>
      <c r="N87" s="742"/>
      <c r="O87" s="742"/>
      <c r="P87" s="742"/>
      <c r="Q87" s="803">
        <v>267122.93494999997</v>
      </c>
      <c r="R87" s="786">
        <f t="shared" si="23"/>
        <v>9.0630830840129586E-2</v>
      </c>
      <c r="S87" s="803">
        <v>85.08</v>
      </c>
      <c r="T87" s="786">
        <f t="shared" si="24"/>
        <v>0.111695162703233</v>
      </c>
      <c r="U87" s="742"/>
      <c r="V87" s="742"/>
      <c r="W87" s="742"/>
    </row>
    <row r="88" spans="1:23" ht="15" customHeight="1" thickBot="1" x14ac:dyDescent="0.3">
      <c r="A88" s="362">
        <v>43000</v>
      </c>
      <c r="B88" s="359" t="s">
        <v>22</v>
      </c>
      <c r="C88" s="742"/>
      <c r="D88" s="742"/>
      <c r="E88" s="742"/>
      <c r="F88" s="742"/>
      <c r="G88" s="742"/>
      <c r="H88" s="742"/>
      <c r="I88" s="742"/>
      <c r="J88" s="742"/>
      <c r="K88" s="742"/>
      <c r="L88" s="742"/>
      <c r="M88" s="742"/>
      <c r="N88" s="742"/>
      <c r="O88" s="742"/>
      <c r="P88" s="742"/>
      <c r="Q88" s="803">
        <v>204327.80474000002</v>
      </c>
      <c r="R88" s="786">
        <f t="shared" si="23"/>
        <v>6.9325379008703392E-2</v>
      </c>
      <c r="S88" s="803">
        <v>35.882000000000005</v>
      </c>
      <c r="T88" s="786">
        <f t="shared" si="24"/>
        <v>4.7106791585771121E-2</v>
      </c>
      <c r="U88" s="742"/>
      <c r="V88" s="742"/>
      <c r="W88" s="742"/>
    </row>
    <row r="89" spans="1:23" ht="15" customHeight="1" thickBot="1" x14ac:dyDescent="0.3">
      <c r="A89" s="647">
        <v>2018</v>
      </c>
      <c r="B89" s="363" t="s">
        <v>127</v>
      </c>
      <c r="C89" s="742"/>
      <c r="D89" s="742"/>
      <c r="E89" s="742"/>
      <c r="F89" s="742"/>
      <c r="G89" s="742"/>
      <c r="H89" s="742"/>
      <c r="I89" s="742"/>
      <c r="J89" s="742"/>
      <c r="K89" s="742"/>
      <c r="L89" s="742"/>
      <c r="M89" s="742"/>
      <c r="N89" s="742"/>
      <c r="O89" s="742"/>
      <c r="P89" s="742"/>
      <c r="Q89" s="807">
        <f>SUM(Q74:Q88)</f>
        <v>2947373.7852100004</v>
      </c>
      <c r="R89" s="794">
        <f>SUM(R74:R88)</f>
        <v>0.99999999999999978</v>
      </c>
      <c r="S89" s="807">
        <f>SUM(S74:S88)</f>
        <v>761.71606666666662</v>
      </c>
      <c r="T89" s="794">
        <f>SUM(T74:T88)</f>
        <v>1.0000000000000002</v>
      </c>
      <c r="U89" s="742"/>
      <c r="V89" s="742"/>
      <c r="W89" s="742"/>
    </row>
    <row r="90" spans="1:23" ht="15" customHeight="1" x14ac:dyDescent="0.25"/>
    <row r="91" spans="1:23" x14ac:dyDescent="0.25">
      <c r="A91" s="710" t="s">
        <v>280</v>
      </c>
    </row>
  </sheetData>
  <mergeCells count="14">
    <mergeCell ref="A3:B3"/>
    <mergeCell ref="A4:A5"/>
    <mergeCell ref="B4:B5"/>
    <mergeCell ref="C4:D4"/>
    <mergeCell ref="E4:H4"/>
    <mergeCell ref="V4:V5"/>
    <mergeCell ref="A21:B21"/>
    <mergeCell ref="K4:L4"/>
    <mergeCell ref="M4:N4"/>
    <mergeCell ref="O4:P4"/>
    <mergeCell ref="Q4:R4"/>
    <mergeCell ref="S4:T4"/>
    <mergeCell ref="U4:U5"/>
    <mergeCell ref="I4:J4"/>
  </mergeCells>
  <hyperlinks>
    <hyperlink ref="A91" location="'0 Seznam'!A1" display="Seznam" xr:uid="{2C7935D0-7381-4E9E-9576-505719634772}"/>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C2E6"/>
  </sheetPr>
  <dimension ref="A1:V42"/>
  <sheetViews>
    <sheetView zoomScale="85" zoomScaleNormal="85" workbookViewId="0">
      <selection activeCell="C2" sqref="C2"/>
    </sheetView>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2" ht="27.75" x14ac:dyDescent="0.25">
      <c r="A1" s="327" t="s">
        <v>345</v>
      </c>
      <c r="B1" s="611"/>
      <c r="C1" s="611"/>
      <c r="D1" s="611"/>
      <c r="E1" s="611"/>
      <c r="F1" s="611"/>
      <c r="G1" s="611"/>
      <c r="H1" s="611"/>
      <c r="I1" s="611"/>
      <c r="J1" s="611"/>
      <c r="K1" s="611"/>
      <c r="L1" s="611"/>
      <c r="M1" s="611"/>
      <c r="N1" s="611"/>
      <c r="O1" s="611"/>
      <c r="P1" s="611"/>
      <c r="Q1" s="611"/>
      <c r="R1" s="611"/>
      <c r="S1" s="611"/>
      <c r="T1" s="611"/>
      <c r="U1" s="611"/>
      <c r="V1" s="611"/>
    </row>
    <row r="2" spans="1:22" ht="15.75" thickBot="1" x14ac:dyDescent="0.3">
      <c r="A2" s="611"/>
      <c r="B2" s="611"/>
      <c r="C2" s="611"/>
      <c r="D2" s="611"/>
      <c r="E2" s="611"/>
      <c r="F2" s="611"/>
      <c r="G2" s="611"/>
      <c r="H2" s="611"/>
      <c r="I2" s="611"/>
      <c r="J2" s="611"/>
      <c r="K2" s="611"/>
      <c r="L2" s="611"/>
      <c r="M2" s="611"/>
      <c r="N2" s="611"/>
      <c r="O2" s="611"/>
      <c r="P2" s="611"/>
      <c r="Q2" s="611"/>
      <c r="R2" s="611"/>
      <c r="S2" s="611"/>
      <c r="T2" s="611"/>
      <c r="U2" s="611"/>
    </row>
    <row r="3" spans="1:22" ht="15.75" thickBot="1" x14ac:dyDescent="0.3">
      <c r="A3" s="1026" t="s">
        <v>282</v>
      </c>
      <c r="B3" s="1027"/>
      <c r="C3" s="328"/>
      <c r="D3" s="718">
        <v>0.15</v>
      </c>
      <c r="E3" s="717"/>
      <c r="F3" s="809"/>
      <c r="G3" s="809"/>
      <c r="H3" s="718">
        <v>0.22</v>
      </c>
      <c r="I3" s="717"/>
      <c r="J3" s="718">
        <v>0.1</v>
      </c>
      <c r="K3" s="717"/>
      <c r="L3" s="718">
        <v>0.3</v>
      </c>
      <c r="M3" s="717"/>
      <c r="N3" s="718">
        <v>0.03</v>
      </c>
      <c r="O3" s="717"/>
      <c r="P3" s="718">
        <v>3.5000000000000003E-2</v>
      </c>
      <c r="Q3" s="717"/>
      <c r="R3" s="718">
        <v>6.5000000000000002E-2</v>
      </c>
      <c r="S3" s="717"/>
      <c r="T3" s="718">
        <v>0.1</v>
      </c>
      <c r="U3" s="810">
        <f>SUM(C3:T3)</f>
        <v>1.0000000000000002</v>
      </c>
      <c r="V3" s="720">
        <v>0.54908902191247222</v>
      </c>
    </row>
    <row r="4" spans="1:22" ht="30" customHeight="1" x14ac:dyDescent="0.25">
      <c r="A4" s="1028" t="s">
        <v>2</v>
      </c>
      <c r="B4" s="1030" t="s">
        <v>3</v>
      </c>
      <c r="C4" s="1020" t="s">
        <v>128</v>
      </c>
      <c r="D4" s="1021"/>
      <c r="E4" s="1041" t="s">
        <v>117</v>
      </c>
      <c r="F4" s="1042"/>
      <c r="G4" s="1042"/>
      <c r="H4" s="1043"/>
      <c r="I4" s="1020" t="s">
        <v>118</v>
      </c>
      <c r="J4" s="1021"/>
      <c r="K4" s="1028" t="s">
        <v>119</v>
      </c>
      <c r="L4" s="1040"/>
      <c r="M4" s="1028" t="s">
        <v>120</v>
      </c>
      <c r="N4" s="1040"/>
      <c r="O4" s="1028" t="s">
        <v>171</v>
      </c>
      <c r="P4" s="1040"/>
      <c r="Q4" s="1028" t="s">
        <v>121</v>
      </c>
      <c r="R4" s="1040"/>
      <c r="S4" s="1028" t="s">
        <v>130</v>
      </c>
      <c r="T4" s="1040"/>
      <c r="U4" s="1022" t="s">
        <v>122</v>
      </c>
      <c r="V4" s="1022" t="s">
        <v>123</v>
      </c>
    </row>
    <row r="5" spans="1:22" ht="15.75" thickBot="1" x14ac:dyDescent="0.3">
      <c r="A5" s="1029"/>
      <c r="B5" s="1031"/>
      <c r="C5" s="334" t="s">
        <v>28</v>
      </c>
      <c r="D5" s="335" t="s">
        <v>126</v>
      </c>
      <c r="E5" s="330" t="s">
        <v>124</v>
      </c>
      <c r="F5" s="331" t="s">
        <v>125</v>
      </c>
      <c r="G5" s="332" t="s">
        <v>28</v>
      </c>
      <c r="H5" s="333" t="s">
        <v>126</v>
      </c>
      <c r="I5" s="334" t="s">
        <v>28</v>
      </c>
      <c r="J5" s="335" t="s">
        <v>126</v>
      </c>
      <c r="K5" s="334" t="s">
        <v>28</v>
      </c>
      <c r="L5" s="335" t="s">
        <v>126</v>
      </c>
      <c r="M5" s="334" t="s">
        <v>28</v>
      </c>
      <c r="N5" s="335" t="s">
        <v>126</v>
      </c>
      <c r="O5" s="334" t="s">
        <v>28</v>
      </c>
      <c r="P5" s="335" t="s">
        <v>126</v>
      </c>
      <c r="Q5" s="334" t="s">
        <v>28</v>
      </c>
      <c r="R5" s="335" t="s">
        <v>126</v>
      </c>
      <c r="S5" s="334" t="s">
        <v>28</v>
      </c>
      <c r="T5" s="335" t="s">
        <v>126</v>
      </c>
      <c r="U5" s="1023"/>
      <c r="V5" s="1023"/>
    </row>
    <row r="6" spans="1:22" x14ac:dyDescent="0.25">
      <c r="A6" s="364">
        <v>11000</v>
      </c>
      <c r="B6" s="365" t="s">
        <v>4</v>
      </c>
      <c r="C6" s="811"/>
      <c r="D6" s="812">
        <f>D13</f>
        <v>0.30265711148742847</v>
      </c>
      <c r="E6" s="811"/>
      <c r="F6" s="813"/>
      <c r="G6" s="814"/>
      <c r="H6" s="812">
        <f>0.5*H13+0.3*H20+0.2*H27</f>
        <v>0.38814833952037442</v>
      </c>
      <c r="I6" s="811"/>
      <c r="J6" s="812">
        <f>J13</f>
        <v>0.34752955317141215</v>
      </c>
      <c r="K6" s="811"/>
      <c r="L6" s="815">
        <f>L13</f>
        <v>0.41684652665784983</v>
      </c>
      <c r="M6" s="811"/>
      <c r="N6" s="812">
        <f>N13</f>
        <v>8.751548502242136E-2</v>
      </c>
      <c r="O6" s="811"/>
      <c r="P6" s="815">
        <f>P13</f>
        <v>0.64549276403395528</v>
      </c>
      <c r="Q6" s="811"/>
      <c r="R6" s="812">
        <f>0.5*R20+0.3*R27+0.2*R34</f>
        <v>0.32609384352852527</v>
      </c>
      <c r="S6" s="811"/>
      <c r="T6" s="812">
        <f t="shared" ref="T6:T10" si="0">0.5*T20+0.3*T27+0.2*T34</f>
        <v>0.38000104413977737</v>
      </c>
      <c r="U6" s="816">
        <f t="array" ref="U6">SUM($C$3:$T$3*C6:T6)</f>
        <v>0.3750120302672858</v>
      </c>
      <c r="V6" s="817">
        <f>U6*$V$3</f>
        <v>0.20591498890487439</v>
      </c>
    </row>
    <row r="7" spans="1:22" x14ac:dyDescent="0.25">
      <c r="A7" s="364">
        <v>14000</v>
      </c>
      <c r="B7" s="366" t="s">
        <v>7</v>
      </c>
      <c r="C7" s="818"/>
      <c r="D7" s="819">
        <f>D14</f>
        <v>0.24984223010703577</v>
      </c>
      <c r="E7" s="813"/>
      <c r="F7" s="813"/>
      <c r="G7" s="813"/>
      <c r="H7" s="820">
        <f>0.5*H14+0.3*H21+0.2*H28</f>
        <v>0.26462313517925717</v>
      </c>
      <c r="I7" s="818"/>
      <c r="J7" s="819">
        <f>J14</f>
        <v>0.21992415978310678</v>
      </c>
      <c r="K7" s="818"/>
      <c r="L7" s="820">
        <f>L14</f>
        <v>0.19423947266347144</v>
      </c>
      <c r="M7" s="818"/>
      <c r="N7" s="819">
        <f>N14</f>
        <v>4.5535992141039143E-2</v>
      </c>
      <c r="O7" s="818"/>
      <c r="P7" s="820">
        <f>P14</f>
        <v>0.1963649030362144</v>
      </c>
      <c r="Q7" s="818"/>
      <c r="R7" s="819">
        <f>0.5*R21+0.3*R28+0.2*R35</f>
        <v>0.21951113728150262</v>
      </c>
      <c r="S7" s="818"/>
      <c r="T7" s="819">
        <f t="shared" si="0"/>
        <v>0.24978212541015524</v>
      </c>
      <c r="U7" s="821">
        <f t="array" ref="U7">SUM($C$3:$T$3*C7:T7)</f>
        <v>0.22344296986765594</v>
      </c>
      <c r="V7" s="822">
        <f>U7*$V$3</f>
        <v>0.12269008177784921</v>
      </c>
    </row>
    <row r="8" spans="1:22" x14ac:dyDescent="0.25">
      <c r="A8" s="364">
        <v>15000</v>
      </c>
      <c r="B8" s="366" t="s">
        <v>8</v>
      </c>
      <c r="C8" s="818"/>
      <c r="D8" s="819">
        <f>D15</f>
        <v>0.16384953412489761</v>
      </c>
      <c r="E8" s="813"/>
      <c r="F8" s="813"/>
      <c r="G8" s="813"/>
      <c r="H8" s="820">
        <f>0.5*H15+0.3*H22+0.2*H29</f>
        <v>0.10996156676783359</v>
      </c>
      <c r="I8" s="818"/>
      <c r="J8" s="819">
        <f>J15</f>
        <v>0.1507539549540842</v>
      </c>
      <c r="K8" s="818"/>
      <c r="L8" s="820">
        <f>L15</f>
        <v>0.13082461073134119</v>
      </c>
      <c r="M8" s="818"/>
      <c r="N8" s="819">
        <f>N15</f>
        <v>8.5793370827315932E-2</v>
      </c>
      <c r="O8" s="818"/>
      <c r="P8" s="820">
        <f>P15</f>
        <v>7.5638947547730262E-2</v>
      </c>
      <c r="Q8" s="818"/>
      <c r="R8" s="819">
        <f>0.5*R22+0.3*R29+0.2*R36</f>
        <v>8.9050314613211501E-2</v>
      </c>
      <c r="S8" s="818"/>
      <c r="T8" s="819">
        <f t="shared" si="0"/>
        <v>0.16414677604877187</v>
      </c>
      <c r="U8" s="821">
        <f t="array" ref="U8">SUM($C$3:$T$3*C8:T8)</f>
        <v>0.13051586586619476</v>
      </c>
      <c r="V8" s="822">
        <f>U8*$V$3</f>
        <v>7.1664829132528307E-2</v>
      </c>
    </row>
    <row r="9" spans="1:22" x14ac:dyDescent="0.25">
      <c r="A9" s="364">
        <v>21000</v>
      </c>
      <c r="B9" s="366" t="s">
        <v>12</v>
      </c>
      <c r="C9" s="818"/>
      <c r="D9" s="819">
        <f>D16</f>
        <v>0.13390257273035269</v>
      </c>
      <c r="E9" s="813"/>
      <c r="F9" s="813"/>
      <c r="G9" s="813"/>
      <c r="H9" s="820">
        <f>0.5*H16+0.3*H23+0.2*H30</f>
        <v>0.14567712887610412</v>
      </c>
      <c r="I9" s="818"/>
      <c r="J9" s="819">
        <f>J16</f>
        <v>0.14704646681456346</v>
      </c>
      <c r="K9" s="818"/>
      <c r="L9" s="820">
        <f>L16</f>
        <v>0.15146980616867795</v>
      </c>
      <c r="M9" s="818"/>
      <c r="N9" s="819">
        <f>N16</f>
        <v>0.40733645634229154</v>
      </c>
      <c r="O9" s="818"/>
      <c r="P9" s="820">
        <f>P16</f>
        <v>6.82755600836399E-2</v>
      </c>
      <c r="Q9" s="818"/>
      <c r="R9" s="819">
        <f>0.5*R23+0.3*R30+0.2*R37</f>
        <v>0.20738556792260479</v>
      </c>
      <c r="S9" s="818"/>
      <c r="T9" s="819">
        <f t="shared" si="0"/>
        <v>0.14337809841934082</v>
      </c>
      <c r="U9" s="821">
        <f t="array" ref="U9">SUM($C$3:$T$3*C9:T9)</f>
        <v>0.15470755284445509</v>
      </c>
      <c r="V9" s="822">
        <f>U9*$V$3</f>
        <v>8.4948218873833956E-2</v>
      </c>
    </row>
    <row r="10" spans="1:22" ht="15.75" thickBot="1" x14ac:dyDescent="0.3">
      <c r="A10" s="367">
        <v>26000</v>
      </c>
      <c r="B10" s="368" t="s">
        <v>17</v>
      </c>
      <c r="C10" s="818"/>
      <c r="D10" s="819">
        <f>D17</f>
        <v>0.1497485515502856</v>
      </c>
      <c r="E10" s="823"/>
      <c r="F10" s="813"/>
      <c r="G10" s="824"/>
      <c r="H10" s="825">
        <f>0.5*H17+0.3*H24+0.2*H31</f>
        <v>9.1589829656430727E-2</v>
      </c>
      <c r="I10" s="818"/>
      <c r="J10" s="819">
        <f>J17</f>
        <v>0.13474586527683344</v>
      </c>
      <c r="K10" s="818"/>
      <c r="L10" s="820">
        <f>L17</f>
        <v>0.10661958377865964</v>
      </c>
      <c r="M10" s="818"/>
      <c r="N10" s="819">
        <f>N17</f>
        <v>0.37381869566693204</v>
      </c>
      <c r="O10" s="818"/>
      <c r="P10" s="820">
        <f>P17</f>
        <v>1.4227825298460142E-2</v>
      </c>
      <c r="Q10" s="818"/>
      <c r="R10" s="819">
        <f>0.5*R24+0.3*R31+0.2*R38</f>
        <v>0.15795913665415595</v>
      </c>
      <c r="S10" s="818"/>
      <c r="T10" s="819">
        <f t="shared" si="0"/>
        <v>6.2691955981954733E-2</v>
      </c>
      <c r="U10" s="821">
        <f t="array" ref="U10">SUM($C$3:$T$3*C10:T10)</f>
        <v>0.11632158115440852</v>
      </c>
      <c r="V10" s="822">
        <f>U10*$V$3</f>
        <v>6.3870903223386441E-2</v>
      </c>
    </row>
    <row r="11" spans="1:22" ht="15.75" thickBot="1" x14ac:dyDescent="0.3">
      <c r="A11" s="1044" t="s">
        <v>127</v>
      </c>
      <c r="B11" s="1045"/>
      <c r="C11" s="826"/>
      <c r="D11" s="827">
        <f>SUM(D6:D10)</f>
        <v>1.0000000000000002</v>
      </c>
      <c r="E11" s="828"/>
      <c r="F11" s="828"/>
      <c r="G11" s="828"/>
      <c r="H11" s="829">
        <f>SUM(H6:H10)</f>
        <v>0.99999999999999989</v>
      </c>
      <c r="I11" s="826"/>
      <c r="J11" s="827">
        <f>SUM(J6:J10)</f>
        <v>1</v>
      </c>
      <c r="K11" s="826"/>
      <c r="L11" s="829">
        <f>SUM(L6:L10)</f>
        <v>1</v>
      </c>
      <c r="M11" s="826"/>
      <c r="N11" s="827">
        <f>SUM(N6:N10)</f>
        <v>1</v>
      </c>
      <c r="O11" s="826"/>
      <c r="P11" s="829">
        <f>SUM(P6:P10)</f>
        <v>0.99999999999999989</v>
      </c>
      <c r="Q11" s="826"/>
      <c r="R11" s="827">
        <f>SUM(R6:R10)</f>
        <v>1</v>
      </c>
      <c r="S11" s="826"/>
      <c r="T11" s="827">
        <f>SUM(T6:T10)</f>
        <v>1</v>
      </c>
      <c r="U11" s="830">
        <f>SUM(U6:U10)</f>
        <v>1.0000000000000002</v>
      </c>
      <c r="V11" s="831">
        <f>SUM(V6:V10)</f>
        <v>0.54908902191247233</v>
      </c>
    </row>
    <row r="12" spans="1:22" ht="15.75" thickBot="1" x14ac:dyDescent="0.3">
      <c r="A12" s="611"/>
      <c r="B12" s="611"/>
      <c r="C12" s="772"/>
      <c r="D12" s="742"/>
      <c r="E12" s="772"/>
      <c r="F12" s="772"/>
      <c r="G12" s="772"/>
      <c r="H12" s="742"/>
      <c r="I12" s="772"/>
      <c r="J12" s="742"/>
      <c r="K12" s="772"/>
      <c r="L12" s="742"/>
      <c r="M12" s="772"/>
      <c r="N12" s="742"/>
      <c r="O12" s="772"/>
      <c r="P12" s="742"/>
      <c r="Q12" s="772"/>
      <c r="R12" s="742"/>
      <c r="S12" s="772"/>
      <c r="T12" s="742"/>
      <c r="U12" s="742"/>
      <c r="V12" s="742"/>
    </row>
    <row r="13" spans="1:22" x14ac:dyDescent="0.25">
      <c r="A13" s="369">
        <v>11000</v>
      </c>
      <c r="B13" s="365" t="s">
        <v>4</v>
      </c>
      <c r="C13" s="811">
        <v>21634.299638033019</v>
      </c>
      <c r="D13" s="815">
        <f>C13/$C$18</f>
        <v>0.30265711148742847</v>
      </c>
      <c r="E13" s="811">
        <v>206898</v>
      </c>
      <c r="F13" s="814">
        <v>260779</v>
      </c>
      <c r="G13" s="814">
        <f>E13+F13</f>
        <v>467677</v>
      </c>
      <c r="H13" s="812">
        <f>G13/$G$18</f>
        <v>0.37970997077948704</v>
      </c>
      <c r="I13" s="811">
        <v>11540.351879970109</v>
      </c>
      <c r="J13" s="812">
        <f>I13/$I$18</f>
        <v>0.34752955317141215</v>
      </c>
      <c r="K13" s="811"/>
      <c r="L13" s="815">
        <v>0.41684652665784983</v>
      </c>
      <c r="M13" s="811">
        <v>15340.619999999999</v>
      </c>
      <c r="N13" s="812">
        <f>M13/$M$18</f>
        <v>8.751548502242136E-2</v>
      </c>
      <c r="O13" s="811"/>
      <c r="P13" s="812">
        <v>0.64549276403395528</v>
      </c>
      <c r="Q13" s="772"/>
      <c r="R13" s="742"/>
      <c r="S13" s="772"/>
      <c r="T13" s="742"/>
      <c r="U13" s="742"/>
      <c r="V13" s="742"/>
    </row>
    <row r="14" spans="1:22" x14ac:dyDescent="0.25">
      <c r="A14" s="364">
        <v>14000</v>
      </c>
      <c r="B14" s="366" t="s">
        <v>7</v>
      </c>
      <c r="C14" s="818">
        <v>17859.02747107438</v>
      </c>
      <c r="D14" s="820">
        <f>C14/$C$18</f>
        <v>0.24984223010703577</v>
      </c>
      <c r="E14" s="818">
        <v>106230</v>
      </c>
      <c r="F14" s="813">
        <v>241328</v>
      </c>
      <c r="G14" s="813">
        <f>E14+F14</f>
        <v>347558</v>
      </c>
      <c r="H14" s="819">
        <f>G14/$G$18</f>
        <v>0.28218458043516564</v>
      </c>
      <c r="I14" s="818">
        <v>7302.9823439274614</v>
      </c>
      <c r="J14" s="819">
        <f>I14/$I$18</f>
        <v>0.21992415978310678</v>
      </c>
      <c r="K14" s="818"/>
      <c r="L14" s="820">
        <v>0.19423947266347144</v>
      </c>
      <c r="M14" s="818">
        <v>7982.02</v>
      </c>
      <c r="N14" s="819">
        <f>M14/$M$18</f>
        <v>4.5535992141039143E-2</v>
      </c>
      <c r="O14" s="818"/>
      <c r="P14" s="819">
        <v>0.1963649030362144</v>
      </c>
      <c r="Q14" s="772"/>
      <c r="R14" s="742"/>
      <c r="S14" s="772"/>
      <c r="T14" s="742"/>
      <c r="U14" s="742"/>
      <c r="V14" s="742"/>
    </row>
    <row r="15" spans="1:22" x14ac:dyDescent="0.25">
      <c r="A15" s="364">
        <v>15000</v>
      </c>
      <c r="B15" s="366" t="s">
        <v>8</v>
      </c>
      <c r="C15" s="818">
        <v>11712.164632078671</v>
      </c>
      <c r="D15" s="820">
        <f>C15/$C$18</f>
        <v>0.16384953412489761</v>
      </c>
      <c r="E15" s="818">
        <v>54090</v>
      </c>
      <c r="F15" s="813">
        <v>70290</v>
      </c>
      <c r="G15" s="813">
        <f>E15+F15</f>
        <v>124380</v>
      </c>
      <c r="H15" s="819">
        <f>G15/$G$18</f>
        <v>0.10098492370921083</v>
      </c>
      <c r="I15" s="818">
        <v>5006.0596907256258</v>
      </c>
      <c r="J15" s="819">
        <f>I15/$I$18</f>
        <v>0.1507539549540842</v>
      </c>
      <c r="K15" s="818"/>
      <c r="L15" s="820">
        <v>0.13082461073134119</v>
      </c>
      <c r="M15" s="818">
        <v>15038.75</v>
      </c>
      <c r="N15" s="819">
        <f>M15/$M$18</f>
        <v>8.5793370827315932E-2</v>
      </c>
      <c r="O15" s="818"/>
      <c r="P15" s="819">
        <v>7.5638947547730262E-2</v>
      </c>
      <c r="Q15" s="772"/>
      <c r="R15" s="742"/>
      <c r="S15" s="772"/>
      <c r="T15" s="742"/>
      <c r="U15" s="742"/>
      <c r="V15" s="742"/>
    </row>
    <row r="16" spans="1:22" x14ac:dyDescent="0.25">
      <c r="A16" s="364">
        <v>21000</v>
      </c>
      <c r="B16" s="366" t="s">
        <v>12</v>
      </c>
      <c r="C16" s="818">
        <v>9571.5192896509488</v>
      </c>
      <c r="D16" s="820">
        <f>C16/$C$18</f>
        <v>0.13390257273035269</v>
      </c>
      <c r="E16" s="818">
        <v>36722</v>
      </c>
      <c r="F16" s="813">
        <v>144097</v>
      </c>
      <c r="G16" s="813">
        <f>E16+F16</f>
        <v>180819</v>
      </c>
      <c r="H16" s="819">
        <f>G16/$G$18</f>
        <v>0.14680811159491713</v>
      </c>
      <c r="I16" s="818">
        <v>4882.9457934169222</v>
      </c>
      <c r="J16" s="819">
        <f>I16/$I$18</f>
        <v>0.14704646681456346</v>
      </c>
      <c r="K16" s="818"/>
      <c r="L16" s="820">
        <v>0.15146980616867795</v>
      </c>
      <c r="M16" s="818">
        <v>71402.150000000009</v>
      </c>
      <c r="N16" s="819">
        <f>M16/$M$18</f>
        <v>0.40733645634229154</v>
      </c>
      <c r="O16" s="818"/>
      <c r="P16" s="819">
        <v>6.82755600836399E-2</v>
      </c>
      <c r="Q16" s="772"/>
      <c r="R16" s="742"/>
      <c r="S16" s="772"/>
      <c r="T16" s="742"/>
      <c r="U16" s="742"/>
      <c r="V16" s="742"/>
    </row>
    <row r="17" spans="1:22" ht="15.75" thickBot="1" x14ac:dyDescent="0.3">
      <c r="A17" s="367">
        <v>26000</v>
      </c>
      <c r="B17" s="368" t="s">
        <v>17</v>
      </c>
      <c r="C17" s="818">
        <v>10704.209191314116</v>
      </c>
      <c r="D17" s="820">
        <f>C17/$C$18</f>
        <v>0.1497485515502856</v>
      </c>
      <c r="E17" s="823">
        <v>46540</v>
      </c>
      <c r="F17" s="813">
        <v>64695</v>
      </c>
      <c r="G17" s="824">
        <f>E17+F17</f>
        <v>111235</v>
      </c>
      <c r="H17" s="825">
        <f>G17/$G$18</f>
        <v>9.0312413481219392E-2</v>
      </c>
      <c r="I17" s="818">
        <v>4474.4819123302677</v>
      </c>
      <c r="J17" s="819">
        <f>I17/$I$18</f>
        <v>0.13474586527683344</v>
      </c>
      <c r="K17" s="818"/>
      <c r="L17" s="820">
        <v>0.10661958377865964</v>
      </c>
      <c r="M17" s="818">
        <v>65526.810000000005</v>
      </c>
      <c r="N17" s="819">
        <f>M17/$M$18</f>
        <v>0.37381869566693204</v>
      </c>
      <c r="O17" s="818"/>
      <c r="P17" s="819">
        <v>1.4227825298460142E-2</v>
      </c>
      <c r="Q17" s="772"/>
      <c r="R17" s="742"/>
      <c r="S17" s="772"/>
      <c r="T17" s="742"/>
      <c r="U17" s="742"/>
      <c r="V17" s="742"/>
    </row>
    <row r="18" spans="1:22" ht="15.75" thickBot="1" x14ac:dyDescent="0.3">
      <c r="A18" s="370">
        <v>2021</v>
      </c>
      <c r="B18" s="371" t="s">
        <v>127</v>
      </c>
      <c r="C18" s="826">
        <f>SUM(C13:C17)</f>
        <v>71481.220222151125</v>
      </c>
      <c r="D18" s="829">
        <f>SUM(D13:D17)</f>
        <v>1.0000000000000002</v>
      </c>
      <c r="E18" s="826">
        <f>SUM(E13:E17)</f>
        <v>450480</v>
      </c>
      <c r="F18" s="828">
        <f>SUM(F13:F17)</f>
        <v>781189</v>
      </c>
      <c r="G18" s="828">
        <f>SUM(G13:G17)</f>
        <v>1231669</v>
      </c>
      <c r="H18" s="827">
        <f t="shared" ref="H18:P18" si="1">SUM(H13:H17)</f>
        <v>1</v>
      </c>
      <c r="I18" s="826">
        <f t="shared" si="1"/>
        <v>33206.821620370385</v>
      </c>
      <c r="J18" s="827">
        <f t="shared" si="1"/>
        <v>1</v>
      </c>
      <c r="K18" s="826">
        <f t="shared" si="1"/>
        <v>0</v>
      </c>
      <c r="L18" s="829">
        <f t="shared" si="1"/>
        <v>1</v>
      </c>
      <c r="M18" s="826">
        <f t="shared" si="1"/>
        <v>175290.35</v>
      </c>
      <c r="N18" s="827">
        <f t="shared" si="1"/>
        <v>1</v>
      </c>
      <c r="O18" s="826"/>
      <c r="P18" s="827">
        <f t="shared" si="1"/>
        <v>0.99999999999999989</v>
      </c>
      <c r="Q18" s="772"/>
      <c r="R18" s="742"/>
      <c r="S18" s="772"/>
      <c r="T18" s="742"/>
      <c r="U18" s="742"/>
      <c r="V18" s="742"/>
    </row>
    <row r="19" spans="1:22" ht="15.75" thickBot="1" x14ac:dyDescent="0.3">
      <c r="A19" s="611"/>
      <c r="B19" s="611"/>
      <c r="C19" s="772"/>
      <c r="D19" s="742"/>
      <c r="E19" s="772"/>
      <c r="F19" s="772"/>
      <c r="G19" s="772"/>
      <c r="H19" s="742"/>
      <c r="I19" s="772"/>
      <c r="J19" s="742"/>
      <c r="K19" s="772"/>
      <c r="L19" s="742"/>
      <c r="M19" s="772"/>
      <c r="N19" s="742"/>
      <c r="O19" s="772"/>
      <c r="P19" s="742"/>
      <c r="Q19" s="772"/>
      <c r="R19" s="742"/>
      <c r="S19" s="772"/>
      <c r="T19" s="742"/>
      <c r="U19" s="742"/>
      <c r="V19" s="742"/>
    </row>
    <row r="20" spans="1:22" x14ac:dyDescent="0.25">
      <c r="A20" s="369">
        <v>11000</v>
      </c>
      <c r="B20" s="365" t="s">
        <v>4</v>
      </c>
      <c r="C20" s="742"/>
      <c r="D20" s="742"/>
      <c r="E20" s="811">
        <v>239697</v>
      </c>
      <c r="F20" s="814">
        <v>504503</v>
      </c>
      <c r="G20" s="814">
        <f>E20+F20</f>
        <v>744200</v>
      </c>
      <c r="H20" s="812">
        <f>G20/$G$25</f>
        <v>0.39528966839647944</v>
      </c>
      <c r="I20" s="742"/>
      <c r="J20" s="742"/>
      <c r="K20" s="742"/>
      <c r="L20" s="742"/>
      <c r="M20" s="742"/>
      <c r="N20" s="742"/>
      <c r="O20" s="772"/>
      <c r="P20" s="742"/>
      <c r="Q20" s="811">
        <v>1949248.00535</v>
      </c>
      <c r="R20" s="812">
        <f>Q20/$Q$25</f>
        <v>0.32427818315465629</v>
      </c>
      <c r="S20" s="811">
        <v>632.68391666666662</v>
      </c>
      <c r="T20" s="812">
        <f>S20/$S$25</f>
        <v>0.37437207970495623</v>
      </c>
      <c r="U20" s="742"/>
      <c r="V20" s="742"/>
    </row>
    <row r="21" spans="1:22" x14ac:dyDescent="0.25">
      <c r="A21" s="364">
        <v>14000</v>
      </c>
      <c r="B21" s="366" t="s">
        <v>7</v>
      </c>
      <c r="C21" s="742"/>
      <c r="D21" s="742"/>
      <c r="E21" s="818">
        <v>174541</v>
      </c>
      <c r="F21" s="813">
        <v>298336</v>
      </c>
      <c r="G21" s="813">
        <f>E21+F21</f>
        <v>472877</v>
      </c>
      <c r="H21" s="819">
        <f>G21/$G$25</f>
        <v>0.25117359919688526</v>
      </c>
      <c r="I21" s="742"/>
      <c r="J21" s="742"/>
      <c r="K21" s="742"/>
      <c r="L21" s="742"/>
      <c r="M21" s="742"/>
      <c r="N21" s="742"/>
      <c r="O21" s="742"/>
      <c r="P21" s="742"/>
      <c r="Q21" s="818">
        <v>1404502</v>
      </c>
      <c r="R21" s="819">
        <f>Q21/$Q$25</f>
        <v>0.23365387859678849</v>
      </c>
      <c r="S21" s="818">
        <v>424.29000000000013</v>
      </c>
      <c r="T21" s="819">
        <f>S21/$S$25</f>
        <v>0.25106111521672042</v>
      </c>
      <c r="U21" s="742"/>
      <c r="V21" s="742"/>
    </row>
    <row r="22" spans="1:22" x14ac:dyDescent="0.25">
      <c r="A22" s="364">
        <v>15000</v>
      </c>
      <c r="B22" s="366" t="s">
        <v>8</v>
      </c>
      <c r="C22" s="742"/>
      <c r="D22" s="742"/>
      <c r="E22" s="818">
        <v>101022</v>
      </c>
      <c r="F22" s="813">
        <v>118893</v>
      </c>
      <c r="G22" s="813">
        <f>E22+F22</f>
        <v>219915</v>
      </c>
      <c r="H22" s="819">
        <f>G22/$G$25</f>
        <v>0.11681016853723701</v>
      </c>
      <c r="I22" s="742"/>
      <c r="J22" s="742"/>
      <c r="K22" s="742"/>
      <c r="L22" s="742"/>
      <c r="M22" s="742"/>
      <c r="N22" s="742"/>
      <c r="O22" s="742"/>
      <c r="P22" s="742"/>
      <c r="Q22" s="818">
        <v>480879</v>
      </c>
      <c r="R22" s="819">
        <f>Q22/$Q$25</f>
        <v>7.9999347445389932E-2</v>
      </c>
      <c r="S22" s="818">
        <v>269.108</v>
      </c>
      <c r="T22" s="819">
        <f>S22/$S$25</f>
        <v>0.15923673570845692</v>
      </c>
      <c r="U22" s="742"/>
      <c r="V22" s="742"/>
    </row>
    <row r="23" spans="1:22" x14ac:dyDescent="0.25">
      <c r="A23" s="364">
        <v>21000</v>
      </c>
      <c r="B23" s="366" t="s">
        <v>12</v>
      </c>
      <c r="C23" s="742"/>
      <c r="D23" s="742"/>
      <c r="E23" s="818">
        <v>67120</v>
      </c>
      <c r="F23" s="813">
        <v>205213</v>
      </c>
      <c r="G23" s="813">
        <f>E23+F23</f>
        <v>272333</v>
      </c>
      <c r="H23" s="819">
        <f>G23/$G$25</f>
        <v>0.14465254133756844</v>
      </c>
      <c r="I23" s="742"/>
      <c r="J23" s="742"/>
      <c r="K23" s="742"/>
      <c r="L23" s="742"/>
      <c r="M23" s="742"/>
      <c r="N23" s="742"/>
      <c r="O23" s="742"/>
      <c r="P23" s="742"/>
      <c r="Q23" s="818">
        <v>1231194.0205700002</v>
      </c>
      <c r="R23" s="819">
        <f>Q23/$Q$25</f>
        <v>0.2048222488906066</v>
      </c>
      <c r="S23" s="818">
        <v>251.17000000000002</v>
      </c>
      <c r="T23" s="819">
        <f>S23/$S$25</f>
        <v>0.14862245235330471</v>
      </c>
      <c r="U23" s="742"/>
      <c r="V23" s="742"/>
    </row>
    <row r="24" spans="1:22" ht="15.75" thickBot="1" x14ac:dyDescent="0.3">
      <c r="A24" s="367">
        <v>26000</v>
      </c>
      <c r="B24" s="368" t="s">
        <v>17</v>
      </c>
      <c r="C24" s="742"/>
      <c r="D24" s="742"/>
      <c r="E24" s="823">
        <v>71297</v>
      </c>
      <c r="F24" s="813">
        <v>102048</v>
      </c>
      <c r="G24" s="824">
        <f>E24+F24</f>
        <v>173345</v>
      </c>
      <c r="H24" s="825">
        <f>G24/$G$25</f>
        <v>9.2074022531829794E-2</v>
      </c>
      <c r="I24" s="742"/>
      <c r="J24" s="742"/>
      <c r="K24" s="742"/>
      <c r="L24" s="742"/>
      <c r="M24" s="742"/>
      <c r="N24" s="742"/>
      <c r="O24" s="742"/>
      <c r="P24" s="742"/>
      <c r="Q24" s="818">
        <v>945213.50569999998</v>
      </c>
      <c r="R24" s="819">
        <f>Q24/$Q$25</f>
        <v>0.15724634191255879</v>
      </c>
      <c r="S24" s="818">
        <v>112.735</v>
      </c>
      <c r="T24" s="819">
        <f>S24/$S$25</f>
        <v>6.6707617016561707E-2</v>
      </c>
      <c r="U24" s="742"/>
      <c r="V24" s="742"/>
    </row>
    <row r="25" spans="1:22" ht="15.75" thickBot="1" x14ac:dyDescent="0.3">
      <c r="A25" s="370">
        <v>2020</v>
      </c>
      <c r="B25" s="371" t="s">
        <v>127</v>
      </c>
      <c r="C25" s="742"/>
      <c r="D25" s="742"/>
      <c r="E25" s="826">
        <f>SUM(E20:E24)</f>
        <v>653677</v>
      </c>
      <c r="F25" s="828">
        <f>SUM(F20:F24)</f>
        <v>1228993</v>
      </c>
      <c r="G25" s="828">
        <f>SUM(G20:G24)</f>
        <v>1882670</v>
      </c>
      <c r="H25" s="827">
        <f>SUM(H20:H24)</f>
        <v>1</v>
      </c>
      <c r="I25" s="742"/>
      <c r="J25" s="742"/>
      <c r="K25" s="742"/>
      <c r="L25" s="742"/>
      <c r="M25" s="742"/>
      <c r="N25" s="742"/>
      <c r="O25" s="742"/>
      <c r="P25" s="742"/>
      <c r="Q25" s="826">
        <f>SUM(Q20:Q24)</f>
        <v>6011036.5316199996</v>
      </c>
      <c r="R25" s="827">
        <f>SUM(R20:R24)</f>
        <v>1</v>
      </c>
      <c r="S25" s="826">
        <f>SUM(S20:S24)</f>
        <v>1689.9869166666667</v>
      </c>
      <c r="T25" s="827">
        <f>SUM(T20:T24)</f>
        <v>1.0000000000000002</v>
      </c>
      <c r="U25" s="742"/>
      <c r="V25" s="742"/>
    </row>
    <row r="26" spans="1:22" ht="15.75" thickBot="1" x14ac:dyDescent="0.3">
      <c r="A26" s="611"/>
      <c r="B26" s="611"/>
      <c r="C26" s="742"/>
      <c r="D26" s="742"/>
      <c r="E26" s="772"/>
      <c r="F26" s="772"/>
      <c r="G26" s="772"/>
      <c r="H26" s="742"/>
      <c r="I26" s="742"/>
      <c r="J26" s="742"/>
      <c r="K26" s="742"/>
      <c r="L26" s="742"/>
      <c r="M26" s="742"/>
      <c r="N26" s="742"/>
      <c r="O26" s="742"/>
      <c r="P26" s="742"/>
      <c r="Q26" s="772"/>
      <c r="R26" s="742"/>
      <c r="S26" s="772"/>
      <c r="T26" s="742"/>
      <c r="U26" s="742"/>
      <c r="V26" s="742"/>
    </row>
    <row r="27" spans="1:22" x14ac:dyDescent="0.25">
      <c r="A27" s="369">
        <v>11000</v>
      </c>
      <c r="B27" s="365" t="s">
        <v>4</v>
      </c>
      <c r="C27" s="742"/>
      <c r="D27" s="742"/>
      <c r="E27" s="811">
        <v>272886</v>
      </c>
      <c r="F27" s="814">
        <v>529809</v>
      </c>
      <c r="G27" s="814">
        <f>E27+F27</f>
        <v>802695</v>
      </c>
      <c r="H27" s="812">
        <f>G27/$G$32</f>
        <v>0.39853226805843522</v>
      </c>
      <c r="I27" s="742"/>
      <c r="J27" s="742"/>
      <c r="K27" s="742"/>
      <c r="L27" s="742"/>
      <c r="M27" s="742"/>
      <c r="N27" s="742"/>
      <c r="O27" s="742"/>
      <c r="P27" s="742"/>
      <c r="Q27" s="811">
        <v>2023529.9233599999</v>
      </c>
      <c r="R27" s="812">
        <f>Q27/$Q$32</f>
        <v>0.32192535807002526</v>
      </c>
      <c r="S27" s="811">
        <v>594.42183333333332</v>
      </c>
      <c r="T27" s="812">
        <f>S27/$S$32</f>
        <v>0.3808914715974267</v>
      </c>
      <c r="U27" s="742"/>
      <c r="V27" s="742"/>
    </row>
    <row r="28" spans="1:22" x14ac:dyDescent="0.25">
      <c r="A28" s="364">
        <v>14000</v>
      </c>
      <c r="B28" s="366" t="s">
        <v>7</v>
      </c>
      <c r="C28" s="742"/>
      <c r="D28" s="742"/>
      <c r="E28" s="818">
        <v>211052</v>
      </c>
      <c r="F28" s="813">
        <v>274139</v>
      </c>
      <c r="G28" s="813">
        <f>E28+F28</f>
        <v>485191</v>
      </c>
      <c r="H28" s="819">
        <f>G28/$G$32</f>
        <v>0.24089382601304385</v>
      </c>
      <c r="I28" s="742"/>
      <c r="J28" s="742"/>
      <c r="K28" s="742"/>
      <c r="L28" s="742"/>
      <c r="M28" s="742"/>
      <c r="N28" s="742"/>
      <c r="O28" s="742"/>
      <c r="P28" s="742"/>
      <c r="Q28" s="818">
        <v>1363852</v>
      </c>
      <c r="R28" s="819">
        <f>Q28/$Q$32</f>
        <v>0.21697655092022505</v>
      </c>
      <c r="S28" s="818">
        <v>394.77999999999986</v>
      </c>
      <c r="T28" s="819">
        <f>S28/$S$32</f>
        <v>0.25296569998785723</v>
      </c>
      <c r="U28" s="742"/>
      <c r="V28" s="742"/>
    </row>
    <row r="29" spans="1:22" x14ac:dyDescent="0.25">
      <c r="A29" s="364">
        <v>15000</v>
      </c>
      <c r="B29" s="366" t="s">
        <v>8</v>
      </c>
      <c r="C29" s="742"/>
      <c r="D29" s="742"/>
      <c r="E29" s="818">
        <v>115722</v>
      </c>
      <c r="F29" s="813">
        <v>130264</v>
      </c>
      <c r="G29" s="813">
        <f>E29+F29</f>
        <v>245986</v>
      </c>
      <c r="H29" s="819">
        <f>G29/$G$32</f>
        <v>0.12213027176028535</v>
      </c>
      <c r="I29" s="742"/>
      <c r="J29" s="742"/>
      <c r="K29" s="742"/>
      <c r="L29" s="742"/>
      <c r="M29" s="742"/>
      <c r="N29" s="742"/>
      <c r="O29" s="742"/>
      <c r="P29" s="742"/>
      <c r="Q29" s="818">
        <v>584139.70000000007</v>
      </c>
      <c r="R29" s="819">
        <f>Q29/$Q$32</f>
        <v>9.2931357186538568E-2</v>
      </c>
      <c r="S29" s="818">
        <v>268.20699999999994</v>
      </c>
      <c r="T29" s="819">
        <f>S29/$S$32</f>
        <v>0.17186071102042461</v>
      </c>
      <c r="U29" s="742"/>
      <c r="V29" s="742"/>
    </row>
    <row r="30" spans="1:22" x14ac:dyDescent="0.25">
      <c r="A30" s="364">
        <v>21000</v>
      </c>
      <c r="B30" s="366" t="s">
        <v>12</v>
      </c>
      <c r="C30" s="742"/>
      <c r="D30" s="742"/>
      <c r="E30" s="818">
        <v>81549</v>
      </c>
      <c r="F30" s="813">
        <v>209264</v>
      </c>
      <c r="G30" s="813">
        <f>E30+F30</f>
        <v>290813</v>
      </c>
      <c r="H30" s="819">
        <f>G30/$G$32</f>
        <v>0.14438655338687512</v>
      </c>
      <c r="I30" s="742"/>
      <c r="J30" s="742"/>
      <c r="K30" s="742"/>
      <c r="L30" s="742"/>
      <c r="M30" s="742"/>
      <c r="N30" s="742"/>
      <c r="O30" s="742"/>
      <c r="P30" s="742"/>
      <c r="Q30" s="818">
        <v>1343014.8704200005</v>
      </c>
      <c r="R30" s="819">
        <f>Q30/$Q$32</f>
        <v>0.21366155156007005</v>
      </c>
      <c r="S30" s="818">
        <v>213.98999999999998</v>
      </c>
      <c r="T30" s="819">
        <f>S30/$S$32</f>
        <v>0.13711973793100354</v>
      </c>
      <c r="U30" s="742"/>
      <c r="V30" s="742"/>
    </row>
    <row r="31" spans="1:22" ht="15.75" thickBot="1" x14ac:dyDescent="0.3">
      <c r="A31" s="367">
        <v>26000</v>
      </c>
      <c r="B31" s="368" t="s">
        <v>17</v>
      </c>
      <c r="C31" s="742"/>
      <c r="D31" s="742"/>
      <c r="E31" s="823">
        <v>83704</v>
      </c>
      <c r="F31" s="813">
        <v>105739</v>
      </c>
      <c r="G31" s="824">
        <f>E31+F31</f>
        <v>189443</v>
      </c>
      <c r="H31" s="825">
        <f>G31/$G$32</f>
        <v>9.4057080781360464E-2</v>
      </c>
      <c r="I31" s="742"/>
      <c r="J31" s="742"/>
      <c r="K31" s="742"/>
      <c r="L31" s="742"/>
      <c r="M31" s="742"/>
      <c r="N31" s="742"/>
      <c r="O31" s="742"/>
      <c r="P31" s="742"/>
      <c r="Q31" s="818">
        <v>971175</v>
      </c>
      <c r="R31" s="819">
        <f>Q31/$Q$32</f>
        <v>0.15450518226314114</v>
      </c>
      <c r="S31" s="818">
        <v>89.207999999999998</v>
      </c>
      <c r="T31" s="819">
        <f>S31/$S$32</f>
        <v>5.7162379463287838E-2</v>
      </c>
      <c r="U31" s="742"/>
      <c r="V31" s="742"/>
    </row>
    <row r="32" spans="1:22" ht="15.75" thickBot="1" x14ac:dyDescent="0.3">
      <c r="A32" s="370">
        <v>2019</v>
      </c>
      <c r="B32" s="371" t="s">
        <v>127</v>
      </c>
      <c r="C32" s="742"/>
      <c r="D32" s="742"/>
      <c r="E32" s="826">
        <f>SUM(E27:E31)</f>
        <v>764913</v>
      </c>
      <c r="F32" s="828">
        <f>SUM(F27:F31)</f>
        <v>1249215</v>
      </c>
      <c r="G32" s="828">
        <f>SUM(G27:G31)</f>
        <v>2014128</v>
      </c>
      <c r="H32" s="827">
        <f>SUM(H27:H31)</f>
        <v>1</v>
      </c>
      <c r="I32" s="742"/>
      <c r="J32" s="742"/>
      <c r="K32" s="742"/>
      <c r="L32" s="742"/>
      <c r="M32" s="742"/>
      <c r="N32" s="742"/>
      <c r="O32" s="742"/>
      <c r="P32" s="742"/>
      <c r="Q32" s="826">
        <f>SUM(Q27:Q31)</f>
        <v>6285711.4937800001</v>
      </c>
      <c r="R32" s="827">
        <f>SUM(R27:R31)</f>
        <v>1</v>
      </c>
      <c r="S32" s="826">
        <f>SUM(S27:S31)</f>
        <v>1560.6068333333333</v>
      </c>
      <c r="T32" s="827">
        <f>SUM(T27:T31)</f>
        <v>0.99999999999999989</v>
      </c>
      <c r="U32" s="742"/>
      <c r="V32" s="742"/>
    </row>
    <row r="33" spans="1:22" ht="15.75" thickBot="1" x14ac:dyDescent="0.3">
      <c r="A33" s="611"/>
      <c r="B33" s="611"/>
      <c r="C33" s="742"/>
      <c r="D33" s="742"/>
      <c r="E33" s="772"/>
      <c r="F33" s="772"/>
      <c r="G33" s="772"/>
      <c r="H33" s="742"/>
      <c r="I33" s="742"/>
      <c r="J33" s="742"/>
      <c r="K33" s="742"/>
      <c r="L33" s="742"/>
      <c r="M33" s="742"/>
      <c r="N33" s="742"/>
      <c r="O33" s="742"/>
      <c r="P33" s="742"/>
      <c r="Q33" s="772"/>
      <c r="R33" s="742"/>
      <c r="S33" s="772"/>
      <c r="T33" s="742"/>
      <c r="U33" s="742"/>
      <c r="V33" s="742"/>
    </row>
    <row r="34" spans="1:22" x14ac:dyDescent="0.25">
      <c r="A34" s="369">
        <v>11000</v>
      </c>
      <c r="B34" s="365" t="s">
        <v>4</v>
      </c>
      <c r="C34" s="742"/>
      <c r="D34" s="742"/>
      <c r="E34" s="742"/>
      <c r="F34" s="742"/>
      <c r="G34" s="742"/>
      <c r="H34" s="742"/>
      <c r="I34" s="742"/>
      <c r="J34" s="742"/>
      <c r="K34" s="742"/>
      <c r="L34" s="742"/>
      <c r="M34" s="742"/>
      <c r="N34" s="742"/>
      <c r="O34" s="742"/>
      <c r="P34" s="742"/>
      <c r="Q34" s="811">
        <v>1752490.7015499996</v>
      </c>
      <c r="R34" s="812">
        <f>Q34/$Q$39</f>
        <v>0.33688572265094774</v>
      </c>
      <c r="S34" s="811">
        <v>542.39</v>
      </c>
      <c r="T34" s="812">
        <f>S34/$S$39</f>
        <v>0.39273781404035607</v>
      </c>
      <c r="U34" s="742"/>
      <c r="V34" s="742"/>
    </row>
    <row r="35" spans="1:22" x14ac:dyDescent="0.25">
      <c r="A35" s="364">
        <v>14000</v>
      </c>
      <c r="B35" s="366" t="s">
        <v>7</v>
      </c>
      <c r="C35" s="742"/>
      <c r="D35" s="742"/>
      <c r="E35" s="742"/>
      <c r="F35" s="742"/>
      <c r="G35" s="742"/>
      <c r="H35" s="742"/>
      <c r="I35" s="742"/>
      <c r="J35" s="742"/>
      <c r="K35" s="742"/>
      <c r="L35" s="742"/>
      <c r="M35" s="742"/>
      <c r="N35" s="742"/>
      <c r="O35" s="742"/>
      <c r="P35" s="742"/>
      <c r="Q35" s="818">
        <v>977754.196</v>
      </c>
      <c r="R35" s="819">
        <f>Q35/$Q$39</f>
        <v>0.18795616353520414</v>
      </c>
      <c r="S35" s="818">
        <v>333.95037500000001</v>
      </c>
      <c r="T35" s="819">
        <f t="shared" ref="T35:T38" si="2">S35/$S$39</f>
        <v>0.24180928902718926</v>
      </c>
      <c r="U35" s="742"/>
      <c r="V35" s="742"/>
    </row>
    <row r="36" spans="1:22" x14ac:dyDescent="0.25">
      <c r="A36" s="364">
        <v>15000</v>
      </c>
      <c r="B36" s="366" t="s">
        <v>8</v>
      </c>
      <c r="C36" s="742"/>
      <c r="D36" s="742"/>
      <c r="E36" s="742"/>
      <c r="F36" s="742"/>
      <c r="G36" s="742"/>
      <c r="H36" s="742"/>
      <c r="I36" s="742"/>
      <c r="J36" s="742"/>
      <c r="K36" s="742"/>
      <c r="L36" s="742"/>
      <c r="M36" s="742"/>
      <c r="N36" s="742"/>
      <c r="O36" s="742"/>
      <c r="P36" s="742"/>
      <c r="Q36" s="818">
        <v>550667.30000000005</v>
      </c>
      <c r="R36" s="819">
        <f>Q36/$Q$39</f>
        <v>0.10585616867277482</v>
      </c>
      <c r="S36" s="818">
        <v>227.667204</v>
      </c>
      <c r="T36" s="819">
        <f t="shared" si="2"/>
        <v>0.16485097444208008</v>
      </c>
      <c r="U36" s="742"/>
      <c r="V36" s="742"/>
    </row>
    <row r="37" spans="1:22" x14ac:dyDescent="0.25">
      <c r="A37" s="364">
        <v>21000</v>
      </c>
      <c r="B37" s="366" t="s">
        <v>12</v>
      </c>
      <c r="C37" s="742"/>
      <c r="D37" s="742"/>
      <c r="E37" s="742"/>
      <c r="F37" s="742"/>
      <c r="G37" s="742"/>
      <c r="H37" s="742"/>
      <c r="I37" s="742"/>
      <c r="J37" s="742"/>
      <c r="K37" s="742"/>
      <c r="L37" s="742"/>
      <c r="M37" s="742"/>
      <c r="N37" s="742"/>
      <c r="O37" s="742"/>
      <c r="P37" s="742"/>
      <c r="Q37" s="818">
        <v>1063190.9659799999</v>
      </c>
      <c r="R37" s="819">
        <f>Q37/$Q$39</f>
        <v>0.20437989004640233</v>
      </c>
      <c r="S37" s="818">
        <v>192.87</v>
      </c>
      <c r="T37" s="819">
        <f t="shared" si="2"/>
        <v>0.13965475431693702</v>
      </c>
      <c r="U37" s="742"/>
      <c r="V37" s="742"/>
    </row>
    <row r="38" spans="1:22" ht="15.75" thickBot="1" x14ac:dyDescent="0.3">
      <c r="A38" s="367">
        <v>26000</v>
      </c>
      <c r="B38" s="368" t="s">
        <v>17</v>
      </c>
      <c r="C38" s="742"/>
      <c r="D38" s="742"/>
      <c r="E38" s="742"/>
      <c r="F38" s="742"/>
      <c r="G38" s="742"/>
      <c r="H38" s="742"/>
      <c r="I38" s="742"/>
      <c r="J38" s="742"/>
      <c r="K38" s="742"/>
      <c r="L38" s="742"/>
      <c r="M38" s="742"/>
      <c r="N38" s="742"/>
      <c r="O38" s="742"/>
      <c r="P38" s="742"/>
      <c r="Q38" s="818">
        <v>857930</v>
      </c>
      <c r="R38" s="819">
        <f>Q38/$Q$39</f>
        <v>0.16492205509467095</v>
      </c>
      <c r="S38" s="818">
        <v>84.170999999999992</v>
      </c>
      <c r="T38" s="819">
        <f t="shared" si="2"/>
        <v>6.094716817343758E-2</v>
      </c>
      <c r="U38" s="742"/>
      <c r="V38" s="742"/>
    </row>
    <row r="39" spans="1:22" ht="15.75" thickBot="1" x14ac:dyDescent="0.3">
      <c r="A39" s="370">
        <v>2018</v>
      </c>
      <c r="B39" s="371" t="s">
        <v>127</v>
      </c>
      <c r="C39" s="742"/>
      <c r="D39" s="742"/>
      <c r="E39" s="742"/>
      <c r="F39" s="742"/>
      <c r="G39" s="742"/>
      <c r="H39" s="742"/>
      <c r="I39" s="742"/>
      <c r="J39" s="742"/>
      <c r="K39" s="742"/>
      <c r="L39" s="742"/>
      <c r="M39" s="742"/>
      <c r="N39" s="742"/>
      <c r="O39" s="742"/>
      <c r="P39" s="742"/>
      <c r="Q39" s="826">
        <f>SUM(Q34:Q38)</f>
        <v>5202033.1635299996</v>
      </c>
      <c r="R39" s="827">
        <f>SUM(R34:R38)</f>
        <v>1</v>
      </c>
      <c r="S39" s="826">
        <f>SUM(S34:S38)</f>
        <v>1381.048579</v>
      </c>
      <c r="T39" s="827">
        <f>SUM(T34:T38)</f>
        <v>1</v>
      </c>
      <c r="U39" s="742"/>
      <c r="V39" s="742"/>
    </row>
    <row r="40" spans="1:22" x14ac:dyDescent="0.25">
      <c r="Q40" s="12"/>
    </row>
    <row r="41" spans="1:22" x14ac:dyDescent="0.25">
      <c r="A41" s="710" t="s">
        <v>280</v>
      </c>
    </row>
    <row r="42" spans="1:22" x14ac:dyDescent="0.25">
      <c r="A42" s="41"/>
    </row>
  </sheetData>
  <mergeCells count="14">
    <mergeCell ref="A3:B3"/>
    <mergeCell ref="A4:A5"/>
    <mergeCell ref="B4:B5"/>
    <mergeCell ref="C4:D4"/>
    <mergeCell ref="E4:H4"/>
    <mergeCell ref="V4:V5"/>
    <mergeCell ref="A11:B11"/>
    <mergeCell ref="K4:L4"/>
    <mergeCell ref="M4:N4"/>
    <mergeCell ref="O4:P4"/>
    <mergeCell ref="Q4:R4"/>
    <mergeCell ref="S4:T4"/>
    <mergeCell ref="U4:U5"/>
    <mergeCell ref="I4:J4"/>
  </mergeCells>
  <hyperlinks>
    <hyperlink ref="A41" location="'0 Seznam'!A1" display="Seznam" xr:uid="{FDABC279-2734-4B64-89A7-F5CA3F876EDB}"/>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96D3-CA0B-4F43-AF55-BBDD8E9E48FA}">
  <sheetPr>
    <tabColor rgb="FFFF0000"/>
  </sheetPr>
  <dimension ref="A1:F17"/>
  <sheetViews>
    <sheetView zoomScale="85" zoomScaleNormal="85" workbookViewId="0">
      <selection activeCell="C2" sqref="C2"/>
    </sheetView>
  </sheetViews>
  <sheetFormatPr defaultRowHeight="15" x14ac:dyDescent="0.25"/>
  <cols>
    <col min="2" max="2" width="40.5703125" customWidth="1"/>
    <col min="3" max="3" width="37.140625" customWidth="1"/>
    <col min="4" max="5" width="26.28515625" customWidth="1"/>
    <col min="6" max="6" width="37.42578125" customWidth="1"/>
  </cols>
  <sheetData>
    <row r="1" spans="1:6" ht="27.75" x14ac:dyDescent="0.25">
      <c r="A1" s="327" t="s">
        <v>223</v>
      </c>
      <c r="B1" s="615"/>
      <c r="C1" s="615"/>
      <c r="D1" s="615"/>
      <c r="E1" s="615"/>
      <c r="F1" s="615"/>
    </row>
    <row r="2" spans="1:6" s="611" customFormat="1" ht="15.75" customHeight="1" x14ac:dyDescent="0.25">
      <c r="A2" s="327"/>
      <c r="B2" s="615"/>
      <c r="C2" s="615"/>
      <c r="D2" s="615"/>
      <c r="E2" s="615"/>
      <c r="F2" s="615"/>
    </row>
    <row r="3" spans="1:6" s="611" customFormat="1" ht="15.75" customHeight="1" x14ac:dyDescent="0.25">
      <c r="A3" s="327"/>
      <c r="B3" s="596" t="s">
        <v>291</v>
      </c>
      <c r="C3" s="622">
        <v>600000000</v>
      </c>
      <c r="D3" s="615"/>
      <c r="E3" s="615"/>
      <c r="F3" s="615"/>
    </row>
    <row r="4" spans="1:6" ht="15.75" thickBot="1" x14ac:dyDescent="0.3">
      <c r="A4" s="615"/>
      <c r="B4" s="615"/>
      <c r="C4" s="615"/>
      <c r="D4" s="615"/>
      <c r="E4" s="615"/>
      <c r="F4" s="615"/>
    </row>
    <row r="5" spans="1:6" ht="15.75" thickBot="1" x14ac:dyDescent="0.3">
      <c r="A5" s="616" t="s">
        <v>2</v>
      </c>
      <c r="B5" s="617" t="s">
        <v>3</v>
      </c>
      <c r="C5" s="614" t="s">
        <v>142</v>
      </c>
      <c r="D5" s="617" t="s">
        <v>29</v>
      </c>
      <c r="E5" s="852" t="s">
        <v>293</v>
      </c>
    </row>
    <row r="6" spans="1:6" x14ac:dyDescent="0.25">
      <c r="A6" s="31">
        <v>11000</v>
      </c>
      <c r="B6" s="618" t="s">
        <v>4</v>
      </c>
      <c r="C6" s="619" t="s">
        <v>224</v>
      </c>
      <c r="D6" s="862">
        <v>0.222119161246212</v>
      </c>
      <c r="E6" s="865">
        <f>ROUND(D6*$C$3,0)</f>
        <v>133271497</v>
      </c>
      <c r="F6" s="853"/>
    </row>
    <row r="7" spans="1:6" x14ac:dyDescent="0.25">
      <c r="A7" s="30">
        <v>11000</v>
      </c>
      <c r="B7" s="620" t="s">
        <v>4</v>
      </c>
      <c r="C7" s="621" t="s">
        <v>225</v>
      </c>
      <c r="D7" s="863">
        <v>0.10049859404671686</v>
      </c>
      <c r="E7" s="866">
        <f t="shared" ref="E7:E13" si="0">ROUND(D7*$C$3,0)</f>
        <v>60299156</v>
      </c>
      <c r="F7" s="854"/>
    </row>
    <row r="8" spans="1:6" x14ac:dyDescent="0.25">
      <c r="A8" s="30">
        <v>11000</v>
      </c>
      <c r="B8" s="620" t="s">
        <v>4</v>
      </c>
      <c r="C8" s="621" t="s">
        <v>226</v>
      </c>
      <c r="D8" s="863">
        <v>9.6693303214819712E-2</v>
      </c>
      <c r="E8" s="866">
        <f t="shared" si="0"/>
        <v>58015982</v>
      </c>
    </row>
    <row r="9" spans="1:6" x14ac:dyDescent="0.25">
      <c r="A9" s="30">
        <v>11000</v>
      </c>
      <c r="B9" s="620" t="s">
        <v>4</v>
      </c>
      <c r="C9" s="621" t="s">
        <v>227</v>
      </c>
      <c r="D9" s="863">
        <v>0.12507229711211443</v>
      </c>
      <c r="E9" s="866">
        <f t="shared" si="0"/>
        <v>75043378</v>
      </c>
    </row>
    <row r="10" spans="1:6" x14ac:dyDescent="0.25">
      <c r="A10" s="30">
        <v>11000</v>
      </c>
      <c r="B10" s="620" t="s">
        <v>4</v>
      </c>
      <c r="C10" s="621" t="s">
        <v>228</v>
      </c>
      <c r="D10" s="863">
        <v>9.2036540155254684E-2</v>
      </c>
      <c r="E10" s="866">
        <f t="shared" si="0"/>
        <v>55221924</v>
      </c>
    </row>
    <row r="11" spans="1:6" x14ac:dyDescent="0.25">
      <c r="A11" s="30">
        <v>14000</v>
      </c>
      <c r="B11" s="620" t="s">
        <v>7</v>
      </c>
      <c r="C11" s="621" t="s">
        <v>229</v>
      </c>
      <c r="D11" s="863">
        <v>0.20003355171206388</v>
      </c>
      <c r="E11" s="866">
        <f t="shared" si="0"/>
        <v>120020131</v>
      </c>
    </row>
    <row r="12" spans="1:6" x14ac:dyDescent="0.25">
      <c r="A12" s="30">
        <v>15000</v>
      </c>
      <c r="B12" s="620" t="s">
        <v>8</v>
      </c>
      <c r="C12" s="621" t="s">
        <v>229</v>
      </c>
      <c r="D12" s="863">
        <v>0.11052606938767151</v>
      </c>
      <c r="E12" s="866">
        <f t="shared" si="0"/>
        <v>66315642</v>
      </c>
    </row>
    <row r="13" spans="1:6" ht="15.75" thickBot="1" x14ac:dyDescent="0.3">
      <c r="A13" s="855">
        <v>17000</v>
      </c>
      <c r="B13" s="860" t="s">
        <v>9</v>
      </c>
      <c r="C13" s="861" t="s">
        <v>229</v>
      </c>
      <c r="D13" s="864">
        <v>5.3020483125146914E-2</v>
      </c>
      <c r="E13" s="867">
        <f t="shared" si="0"/>
        <v>31812290</v>
      </c>
    </row>
    <row r="14" spans="1:6" ht="15.75" thickBot="1" x14ac:dyDescent="0.3">
      <c r="A14" s="1046" t="s">
        <v>28</v>
      </c>
      <c r="B14" s="1047"/>
      <c r="C14" s="1047"/>
      <c r="D14" s="9">
        <f>SUM(D6:D13)</f>
        <v>0.99999999999999989</v>
      </c>
      <c r="E14" s="324">
        <f>SUM(E6:E13)</f>
        <v>600000000</v>
      </c>
    </row>
    <row r="17" spans="1:1" x14ac:dyDescent="0.25">
      <c r="A17" s="710" t="s">
        <v>280</v>
      </c>
    </row>
  </sheetData>
  <mergeCells count="1">
    <mergeCell ref="A14:C14"/>
  </mergeCells>
  <hyperlinks>
    <hyperlink ref="A17" location="'0 Seznam'!A1" display="Seznam" xr:uid="{B16C6632-712D-4BB3-8277-E62580020892}"/>
  </hyperlinks>
  <pageMargins left="0.70866141732283472" right="0.70866141732283472" top="0.78740157480314965" bottom="0.78740157480314965" header="0.31496062992125984" footer="0.31496062992125984"/>
  <pageSetup paperSize="9" scale="73" orientation="landscape" r:id="rId1"/>
  <headerFooter>
    <oddHeader xml:space="preserve">&amp;LČ. j.: 5674/2022-1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R62"/>
  <sheetViews>
    <sheetView zoomScale="70" zoomScaleNormal="70" workbookViewId="0">
      <selection activeCell="C2" sqref="C2"/>
    </sheetView>
  </sheetViews>
  <sheetFormatPr defaultRowHeight="15" x14ac:dyDescent="0.25"/>
  <cols>
    <col min="1" max="1" width="9.140625" style="43"/>
    <col min="2" max="2" width="56.85546875" style="43" bestFit="1" customWidth="1"/>
    <col min="3" max="3" width="12.85546875" style="534" customWidth="1"/>
    <col min="4" max="4" width="31.28515625" style="43" bestFit="1" customWidth="1"/>
    <col min="5" max="14" width="17.7109375" style="43" customWidth="1"/>
    <col min="15" max="16" width="17.85546875" style="43" customWidth="1"/>
    <col min="17" max="17" width="9.140625" style="43"/>
    <col min="18" max="18" width="14.42578125" style="43" bestFit="1" customWidth="1"/>
    <col min="19" max="16384" width="9.140625" style="43"/>
  </cols>
  <sheetData>
    <row r="1" spans="1:18" ht="27.75" x14ac:dyDescent="0.25">
      <c r="A1" s="327" t="s">
        <v>141</v>
      </c>
    </row>
    <row r="3" spans="1:18" x14ac:dyDescent="0.25">
      <c r="B3" s="596"/>
      <c r="C3" s="596" t="s">
        <v>308</v>
      </c>
      <c r="D3" s="373">
        <v>115000000</v>
      </c>
      <c r="E3" s="14" t="s">
        <v>34</v>
      </c>
    </row>
    <row r="4" spans="1:18" ht="15.75" thickBot="1" x14ac:dyDescent="0.3">
      <c r="B4" s="409"/>
      <c r="C4" s="409"/>
      <c r="D4" s="18"/>
      <c r="E4" s="17"/>
    </row>
    <row r="5" spans="1:18" ht="15.75" thickBot="1" x14ac:dyDescent="0.3">
      <c r="A5" s="1074" t="s">
        <v>116</v>
      </c>
      <c r="B5" s="1075"/>
      <c r="C5" s="1075"/>
      <c r="D5" s="1075"/>
      <c r="E5" s="1076">
        <v>0.4</v>
      </c>
      <c r="F5" s="1077"/>
      <c r="G5" s="1076">
        <v>0.4</v>
      </c>
      <c r="H5" s="1078"/>
      <c r="I5" s="1078"/>
      <c r="J5" s="1077"/>
      <c r="K5" s="1076">
        <v>0.1</v>
      </c>
      <c r="L5" s="1077"/>
      <c r="M5" s="1076">
        <v>0.1</v>
      </c>
      <c r="N5" s="1077"/>
      <c r="O5" s="1072">
        <f>SUM(E5:M5)</f>
        <v>1</v>
      </c>
      <c r="P5" s="1073"/>
    </row>
    <row r="6" spans="1:18" ht="39" customHeight="1" x14ac:dyDescent="0.25">
      <c r="A6" s="1069" t="s">
        <v>2</v>
      </c>
      <c r="B6" s="1070" t="s">
        <v>3</v>
      </c>
      <c r="C6" s="1057" t="s">
        <v>183</v>
      </c>
      <c r="D6" s="1071" t="s">
        <v>142</v>
      </c>
      <c r="E6" s="1068" t="s">
        <v>309</v>
      </c>
      <c r="F6" s="1049" t="s">
        <v>143</v>
      </c>
      <c r="G6" s="1068" t="s">
        <v>310</v>
      </c>
      <c r="H6" s="1064" t="s">
        <v>209</v>
      </c>
      <c r="I6" s="1066" t="s">
        <v>144</v>
      </c>
      <c r="J6" s="1049" t="s">
        <v>143</v>
      </c>
      <c r="K6" s="1068" t="s">
        <v>222</v>
      </c>
      <c r="L6" s="1049" t="s">
        <v>143</v>
      </c>
      <c r="M6" s="1051" t="s">
        <v>175</v>
      </c>
      <c r="N6" s="1049" t="s">
        <v>143</v>
      </c>
      <c r="O6" s="1061" t="s">
        <v>143</v>
      </c>
      <c r="P6" s="1063" t="s">
        <v>145</v>
      </c>
    </row>
    <row r="7" spans="1:18" ht="39" customHeight="1" thickBot="1" x14ac:dyDescent="0.3">
      <c r="A7" s="1069"/>
      <c r="B7" s="1070"/>
      <c r="C7" s="1058"/>
      <c r="D7" s="1071"/>
      <c r="E7" s="1052"/>
      <c r="F7" s="1049"/>
      <c r="G7" s="1052"/>
      <c r="H7" s="1065"/>
      <c r="I7" s="1067"/>
      <c r="J7" s="1049"/>
      <c r="K7" s="1052"/>
      <c r="L7" s="1049"/>
      <c r="M7" s="1052"/>
      <c r="N7" s="1049"/>
      <c r="O7" s="1062"/>
      <c r="P7" s="1063"/>
    </row>
    <row r="8" spans="1:18" ht="15" customHeight="1" x14ac:dyDescent="0.25">
      <c r="A8" s="410">
        <v>11000</v>
      </c>
      <c r="B8" s="411" t="s">
        <v>4</v>
      </c>
      <c r="C8" s="411">
        <v>11410</v>
      </c>
      <c r="D8" s="412" t="s">
        <v>146</v>
      </c>
      <c r="E8" s="413">
        <v>117090.74800000001</v>
      </c>
      <c r="F8" s="414">
        <f>E8/$E$17</f>
        <v>0.16125395230099726</v>
      </c>
      <c r="G8" s="415">
        <v>46688.911643723091</v>
      </c>
      <c r="H8" s="416">
        <v>208.99100000000001</v>
      </c>
      <c r="I8" s="417">
        <f>($G$12-G8)*H8*12</f>
        <v>48095229.44670254</v>
      </c>
      <c r="J8" s="418">
        <f>I8/$I$17</f>
        <v>0.23069904908976313</v>
      </c>
      <c r="K8" s="419"/>
      <c r="L8" s="418">
        <f>0.5*L22+0.3*L36+0.2*L50</f>
        <v>0.17312443493555801</v>
      </c>
      <c r="M8" s="419"/>
      <c r="N8" s="418">
        <f t="shared" ref="N8:N16" si="0">0.5*N22+0.3*N36+0.2*N50</f>
        <v>0.16432324664455486</v>
      </c>
      <c r="O8" s="420">
        <f t="shared" ref="O8:O16" si="1">$E$5*F8+$G$5*J8+$K$5*L8+$M$5*N8</f>
        <v>0.19052596871431546</v>
      </c>
      <c r="P8" s="421">
        <f>ROUND($D$3*O8,0)</f>
        <v>21910486</v>
      </c>
      <c r="R8" s="696"/>
    </row>
    <row r="9" spans="1:18" ht="15" customHeight="1" x14ac:dyDescent="0.25">
      <c r="A9" s="30">
        <v>12000</v>
      </c>
      <c r="B9" s="262" t="s">
        <v>5</v>
      </c>
      <c r="C9" s="262">
        <v>12410</v>
      </c>
      <c r="D9" s="422" t="s">
        <v>146</v>
      </c>
      <c r="E9" s="423">
        <v>67104.251999999993</v>
      </c>
      <c r="F9" s="424">
        <f t="shared" ref="F9:F16" si="2">E9/$E$17</f>
        <v>9.2414012516190414E-2</v>
      </c>
      <c r="G9" s="425">
        <v>51174.773274276347</v>
      </c>
      <c r="H9" s="426">
        <v>109.273</v>
      </c>
      <c r="I9" s="427">
        <f t="shared" ref="I9:I16" si="3">($G$12-G9)*H9*12</f>
        <v>19264861.088762324</v>
      </c>
      <c r="J9" s="428">
        <f t="shared" ref="J9:J16" si="4">I9/$I$17</f>
        <v>9.2408024354036195E-2</v>
      </c>
      <c r="K9" s="429"/>
      <c r="L9" s="428">
        <f t="shared" ref="L9:L16" si="5">0.5*L23+0.3*L37+0.2*L51</f>
        <v>6.870900106057018E-2</v>
      </c>
      <c r="M9" s="429"/>
      <c r="N9" s="428">
        <f t="shared" si="0"/>
        <v>8.4182111655398822E-2</v>
      </c>
      <c r="O9" s="430">
        <f t="shared" si="1"/>
        <v>8.921792601968756E-2</v>
      </c>
      <c r="P9" s="431">
        <f t="shared" ref="P9:P16" si="6">ROUND($D$3*O9,0)</f>
        <v>10260061</v>
      </c>
      <c r="R9" s="696"/>
    </row>
    <row r="10" spans="1:18" ht="15" customHeight="1" x14ac:dyDescent="0.25">
      <c r="A10" s="30">
        <v>13000</v>
      </c>
      <c r="B10" s="262" t="s">
        <v>6</v>
      </c>
      <c r="C10" s="262">
        <v>13430</v>
      </c>
      <c r="D10" s="422" t="s">
        <v>146</v>
      </c>
      <c r="E10" s="423">
        <v>52160.411999999997</v>
      </c>
      <c r="F10" s="424">
        <f t="shared" si="2"/>
        <v>7.1833793295507542E-2</v>
      </c>
      <c r="G10" s="425">
        <v>43351.694492649549</v>
      </c>
      <c r="H10" s="426">
        <v>100.26600000000001</v>
      </c>
      <c r="I10" s="427">
        <f t="shared" si="3"/>
        <v>27089590.223402336</v>
      </c>
      <c r="J10" s="428">
        <f t="shared" si="4"/>
        <v>0.12994101029699398</v>
      </c>
      <c r="K10" s="429"/>
      <c r="L10" s="428">
        <f t="shared" si="5"/>
        <v>8.781455231483129E-2</v>
      </c>
      <c r="M10" s="429"/>
      <c r="N10" s="428">
        <f t="shared" si="0"/>
        <v>8.1704248032968357E-2</v>
      </c>
      <c r="O10" s="430">
        <f t="shared" si="1"/>
        <v>9.7661801471780593E-2</v>
      </c>
      <c r="P10" s="431">
        <f t="shared" si="6"/>
        <v>11231107</v>
      </c>
      <c r="R10" s="696"/>
    </row>
    <row r="11" spans="1:18" ht="15" customHeight="1" x14ac:dyDescent="0.25">
      <c r="A11" s="30">
        <v>14000</v>
      </c>
      <c r="B11" s="262" t="s">
        <v>7</v>
      </c>
      <c r="C11" s="262">
        <v>14410</v>
      </c>
      <c r="D11" s="422" t="s">
        <v>146</v>
      </c>
      <c r="E11" s="423">
        <v>121914.349</v>
      </c>
      <c r="F11" s="424">
        <f t="shared" si="2"/>
        <v>0.16789687446913509</v>
      </c>
      <c r="G11" s="425">
        <v>60058.696401828645</v>
      </c>
      <c r="H11" s="426">
        <v>169.16</v>
      </c>
      <c r="I11" s="427">
        <f t="shared" si="3"/>
        <v>11789303.046663251</v>
      </c>
      <c r="J11" s="428">
        <f t="shared" si="4"/>
        <v>5.6549912196805843E-2</v>
      </c>
      <c r="K11" s="429"/>
      <c r="L11" s="428">
        <f t="shared" si="5"/>
        <v>0.16638291806854524</v>
      </c>
      <c r="M11" s="429"/>
      <c r="N11" s="428">
        <f t="shared" si="0"/>
        <v>0.19684019573031469</v>
      </c>
      <c r="O11" s="430">
        <f t="shared" si="1"/>
        <v>0.12610102604626239</v>
      </c>
      <c r="P11" s="431">
        <f t="shared" si="6"/>
        <v>14501618</v>
      </c>
      <c r="R11" s="696"/>
    </row>
    <row r="12" spans="1:18" ht="15" customHeight="1" x14ac:dyDescent="0.25">
      <c r="A12" s="30">
        <v>15000</v>
      </c>
      <c r="B12" s="262" t="s">
        <v>8</v>
      </c>
      <c r="C12" s="262">
        <v>15410</v>
      </c>
      <c r="D12" s="422" t="s">
        <v>146</v>
      </c>
      <c r="E12" s="423">
        <v>100613.658</v>
      </c>
      <c r="F12" s="424">
        <f t="shared" si="2"/>
        <v>0.13856218604018866</v>
      </c>
      <c r="G12" s="425">
        <v>65866.463725990805</v>
      </c>
      <c r="H12" s="426">
        <v>127.295</v>
      </c>
      <c r="I12" s="427">
        <f t="shared" si="3"/>
        <v>0</v>
      </c>
      <c r="J12" s="428">
        <f t="shared" si="4"/>
        <v>0</v>
      </c>
      <c r="K12" s="429"/>
      <c r="L12" s="428">
        <f t="shared" si="5"/>
        <v>0.17749145785778528</v>
      </c>
      <c r="M12" s="429"/>
      <c r="N12" s="428">
        <f t="shared" si="0"/>
        <v>0.16360099358242494</v>
      </c>
      <c r="O12" s="430">
        <f t="shared" si="1"/>
        <v>8.9534119560096492E-2</v>
      </c>
      <c r="P12" s="431">
        <f t="shared" si="6"/>
        <v>10296424</v>
      </c>
      <c r="R12" s="696"/>
    </row>
    <row r="13" spans="1:18" ht="15" customHeight="1" x14ac:dyDescent="0.25">
      <c r="A13" s="30">
        <v>17000</v>
      </c>
      <c r="B13" s="262" t="s">
        <v>9</v>
      </c>
      <c r="C13" s="262">
        <v>17450</v>
      </c>
      <c r="D13" s="422" t="s">
        <v>146</v>
      </c>
      <c r="E13" s="423">
        <v>64921.720999999998</v>
      </c>
      <c r="F13" s="424">
        <f t="shared" si="2"/>
        <v>8.9408294679547612E-2</v>
      </c>
      <c r="G13" s="459">
        <v>59509.673273788569</v>
      </c>
      <c r="H13" s="426">
        <v>90.912000000000006</v>
      </c>
      <c r="I13" s="427">
        <f t="shared" si="3"/>
        <v>6934902.4030873179</v>
      </c>
      <c r="J13" s="428">
        <f t="shared" si="4"/>
        <v>3.3264741811773323E-2</v>
      </c>
      <c r="K13" s="429"/>
      <c r="L13" s="428">
        <f t="shared" si="5"/>
        <v>8.4621629342648996E-2</v>
      </c>
      <c r="M13" s="429"/>
      <c r="N13" s="428">
        <f t="shared" si="0"/>
        <v>9.2985074640916654E-2</v>
      </c>
      <c r="O13" s="430">
        <f t="shared" si="1"/>
        <v>6.6829884994884944E-2</v>
      </c>
      <c r="P13" s="431">
        <f t="shared" si="6"/>
        <v>7685437</v>
      </c>
      <c r="R13" s="696"/>
    </row>
    <row r="14" spans="1:18" ht="15" customHeight="1" x14ac:dyDescent="0.25">
      <c r="A14" s="30">
        <v>18000</v>
      </c>
      <c r="B14" s="262" t="s">
        <v>10</v>
      </c>
      <c r="C14" s="262">
        <v>18440</v>
      </c>
      <c r="D14" s="422" t="s">
        <v>146</v>
      </c>
      <c r="E14" s="423">
        <v>65605.58</v>
      </c>
      <c r="F14" s="424">
        <f t="shared" si="2"/>
        <v>9.0350085285980569E-2</v>
      </c>
      <c r="G14" s="425">
        <v>42638.348372471482</v>
      </c>
      <c r="H14" s="426">
        <v>128.221</v>
      </c>
      <c r="I14" s="427">
        <f t="shared" si="3"/>
        <v>35739986.144923218</v>
      </c>
      <c r="J14" s="428">
        <f t="shared" si="4"/>
        <v>0.17143448348140469</v>
      </c>
      <c r="K14" s="429"/>
      <c r="L14" s="428">
        <f t="shared" si="5"/>
        <v>9.7182107384671423E-2</v>
      </c>
      <c r="M14" s="429"/>
      <c r="N14" s="428">
        <f t="shared" si="0"/>
        <v>9.6636916089097094E-2</v>
      </c>
      <c r="O14" s="430">
        <f t="shared" si="1"/>
        <v>0.12409572985433096</v>
      </c>
      <c r="P14" s="431">
        <f t="shared" si="6"/>
        <v>14271009</v>
      </c>
      <c r="R14" s="696"/>
    </row>
    <row r="15" spans="1:18" ht="15" customHeight="1" x14ac:dyDescent="0.25">
      <c r="A15" s="30">
        <v>23000</v>
      </c>
      <c r="B15" s="262" t="s">
        <v>14</v>
      </c>
      <c r="C15" s="262">
        <v>23420</v>
      </c>
      <c r="D15" s="422" t="s">
        <v>146</v>
      </c>
      <c r="E15" s="423">
        <v>50954.154999999999</v>
      </c>
      <c r="F15" s="424">
        <f t="shared" si="2"/>
        <v>7.0172571447810889E-2</v>
      </c>
      <c r="G15" s="425">
        <v>36893.144589060539</v>
      </c>
      <c r="H15" s="426">
        <v>115.09399999999999</v>
      </c>
      <c r="I15" s="427">
        <f t="shared" si="3"/>
        <v>40015862.312950224</v>
      </c>
      <c r="J15" s="428">
        <f t="shared" si="4"/>
        <v>0.19194463755151991</v>
      </c>
      <c r="K15" s="429"/>
      <c r="L15" s="428">
        <f t="shared" si="5"/>
        <v>6.9529337926745316E-2</v>
      </c>
      <c r="M15" s="429"/>
      <c r="N15" s="428">
        <f t="shared" si="0"/>
        <v>6.3376376222747902E-2</v>
      </c>
      <c r="O15" s="430">
        <f t="shared" si="1"/>
        <v>0.11813745501468165</v>
      </c>
      <c r="P15" s="431">
        <f>ROUND($D$3*O15+0.3,0)</f>
        <v>13585808</v>
      </c>
      <c r="R15" s="696"/>
    </row>
    <row r="16" spans="1:18" ht="15.75" thickBot="1" x14ac:dyDescent="0.3">
      <c r="A16" s="30">
        <v>24000</v>
      </c>
      <c r="B16" s="432" t="s">
        <v>15</v>
      </c>
      <c r="C16" s="432">
        <v>24510</v>
      </c>
      <c r="D16" s="422" t="s">
        <v>147</v>
      </c>
      <c r="E16" s="433">
        <v>85761.501000000004</v>
      </c>
      <c r="F16" s="434">
        <f t="shared" si="2"/>
        <v>0.11810822996464186</v>
      </c>
      <c r="G16" s="435">
        <v>53640.900595943975</v>
      </c>
      <c r="H16" s="436">
        <v>133.23400000000001</v>
      </c>
      <c r="I16" s="437">
        <f t="shared" si="3"/>
        <v>19546328.136823915</v>
      </c>
      <c r="J16" s="438">
        <f t="shared" si="4"/>
        <v>9.3758141217702887E-2</v>
      </c>
      <c r="K16" s="439"/>
      <c r="L16" s="438">
        <f t="shared" si="5"/>
        <v>7.5144561108644245E-2</v>
      </c>
      <c r="M16" s="439"/>
      <c r="N16" s="438">
        <f t="shared" si="0"/>
        <v>5.6350837401576662E-2</v>
      </c>
      <c r="O16" s="440">
        <f t="shared" si="1"/>
        <v>9.7896088323960018E-2</v>
      </c>
      <c r="P16" s="441">
        <f t="shared" si="6"/>
        <v>11258050</v>
      </c>
      <c r="R16" s="696"/>
    </row>
    <row r="17" spans="1:16" ht="15.75" thickBot="1" x14ac:dyDescent="0.3">
      <c r="A17" s="1046" t="s">
        <v>28</v>
      </c>
      <c r="B17" s="1047"/>
      <c r="C17" s="1047"/>
      <c r="D17" s="1050"/>
      <c r="E17" s="442">
        <f>SUM(E8:E16)</f>
        <v>726126.37600000005</v>
      </c>
      <c r="F17" s="443">
        <f>SUM(F8:F16)</f>
        <v>0.99999999999999978</v>
      </c>
      <c r="G17" s="444">
        <f>E17/H17/12*1000</f>
        <v>51174.033599279246</v>
      </c>
      <c r="H17" s="445">
        <f t="shared" ref="H17:P17" si="7">SUM(H8:H16)</f>
        <v>1182.4459999999999</v>
      </c>
      <c r="I17" s="446">
        <f t="shared" si="7"/>
        <v>208476062.80331513</v>
      </c>
      <c r="J17" s="447">
        <f t="shared" si="7"/>
        <v>0.99999999999999989</v>
      </c>
      <c r="K17" s="448">
        <f t="shared" si="7"/>
        <v>0</v>
      </c>
      <c r="L17" s="447">
        <f t="shared" si="7"/>
        <v>1</v>
      </c>
      <c r="M17" s="448">
        <f t="shared" si="7"/>
        <v>0</v>
      </c>
      <c r="N17" s="447">
        <f t="shared" si="7"/>
        <v>1.0000000000000002</v>
      </c>
      <c r="O17" s="449">
        <f t="shared" si="7"/>
        <v>1</v>
      </c>
      <c r="P17" s="450">
        <f t="shared" si="7"/>
        <v>115000000</v>
      </c>
    </row>
    <row r="18" spans="1:16" x14ac:dyDescent="0.25">
      <c r="A18" s="451" t="s">
        <v>311</v>
      </c>
      <c r="B18" s="452"/>
      <c r="C18" s="452"/>
      <c r="D18" s="452"/>
      <c r="E18" s="453"/>
      <c r="F18" s="454"/>
      <c r="G18" s="455"/>
      <c r="H18" s="456"/>
      <c r="I18" s="457"/>
      <c r="J18" s="458"/>
      <c r="K18" s="457"/>
      <c r="L18" s="458"/>
      <c r="M18" s="457"/>
      <c r="N18" s="458"/>
      <c r="O18" s="458"/>
      <c r="P18" s="457"/>
    </row>
    <row r="19" spans="1:16" s="859" customFormat="1" ht="15.75" thickBot="1" x14ac:dyDescent="0.3">
      <c r="A19" s="859" t="s">
        <v>312</v>
      </c>
      <c r="O19" s="458"/>
      <c r="P19" s="457"/>
    </row>
    <row r="20" spans="1:16" s="859" customFormat="1" ht="42.75" customHeight="1" x14ac:dyDescent="0.25">
      <c r="A20" s="1053" t="s">
        <v>2</v>
      </c>
      <c r="B20" s="1055" t="s">
        <v>3</v>
      </c>
      <c r="C20" s="1057" t="s">
        <v>183</v>
      </c>
      <c r="D20" s="1059" t="s">
        <v>142</v>
      </c>
      <c r="E20" s="550"/>
      <c r="F20" s="550"/>
      <c r="G20" s="550"/>
      <c r="H20" s="550"/>
      <c r="I20" s="550"/>
      <c r="J20" s="550"/>
      <c r="K20" s="1051" t="s">
        <v>313</v>
      </c>
      <c r="L20" s="1048" t="s">
        <v>143</v>
      </c>
      <c r="M20" s="1051" t="s">
        <v>314</v>
      </c>
      <c r="N20" s="1048" t="s">
        <v>143</v>
      </c>
      <c r="O20" s="458"/>
      <c r="P20" s="457"/>
    </row>
    <row r="21" spans="1:16" s="859" customFormat="1" ht="42.75" customHeight="1" thickBot="1" x14ac:dyDescent="0.3">
      <c r="A21" s="1054"/>
      <c r="B21" s="1056"/>
      <c r="C21" s="1058"/>
      <c r="D21" s="1060"/>
      <c r="E21" s="550"/>
      <c r="F21" s="550"/>
      <c r="G21" s="550"/>
      <c r="H21" s="550"/>
      <c r="I21" s="550"/>
      <c r="J21" s="550"/>
      <c r="K21" s="1052"/>
      <c r="L21" s="1049"/>
      <c r="M21" s="1052"/>
      <c r="N21" s="1049"/>
      <c r="O21" s="458"/>
      <c r="P21" s="457"/>
    </row>
    <row r="22" spans="1:16" s="859" customFormat="1" ht="15" customHeight="1" x14ac:dyDescent="0.25">
      <c r="A22" s="31">
        <v>11000</v>
      </c>
      <c r="B22" s="551" t="s">
        <v>4</v>
      </c>
      <c r="C22" s="411">
        <v>11410</v>
      </c>
      <c r="D22" s="552" t="s">
        <v>146</v>
      </c>
      <c r="E22" s="266"/>
      <c r="F22" s="266"/>
      <c r="G22" s="266"/>
      <c r="H22" s="266"/>
      <c r="I22" s="266"/>
      <c r="J22" s="266"/>
      <c r="K22" s="419">
        <v>4972</v>
      </c>
      <c r="L22" s="418">
        <f>K22/$K$31</f>
        <v>0.1707798787504079</v>
      </c>
      <c r="M22" s="419">
        <v>1005</v>
      </c>
      <c r="N22" s="418">
        <f>M22/$M$31</f>
        <v>0.17016593294954283</v>
      </c>
      <c r="O22" s="458"/>
      <c r="P22" s="457"/>
    </row>
    <row r="23" spans="1:16" s="859" customFormat="1" ht="15" customHeight="1" x14ac:dyDescent="0.25">
      <c r="A23" s="30">
        <v>12000</v>
      </c>
      <c r="B23" s="262" t="s">
        <v>5</v>
      </c>
      <c r="C23" s="262">
        <v>12410</v>
      </c>
      <c r="D23" s="422" t="s">
        <v>146</v>
      </c>
      <c r="E23" s="266"/>
      <c r="F23" s="266"/>
      <c r="G23" s="266"/>
      <c r="H23" s="266"/>
      <c r="I23" s="266"/>
      <c r="J23" s="266"/>
      <c r="K23" s="429">
        <v>2037.5</v>
      </c>
      <c r="L23" s="428">
        <f t="shared" ref="L23:L30" si="8">K23/$K$31</f>
        <v>6.9984714994761874E-2</v>
      </c>
      <c r="M23" s="429">
        <v>513</v>
      </c>
      <c r="N23" s="428">
        <f t="shared" ref="N23:N30" si="9">M23/$M$31</f>
        <v>8.6860819505587536E-2</v>
      </c>
      <c r="O23" s="458"/>
      <c r="P23" s="457"/>
    </row>
    <row r="24" spans="1:16" s="859" customFormat="1" ht="15" customHeight="1" x14ac:dyDescent="0.25">
      <c r="A24" s="30">
        <v>13000</v>
      </c>
      <c r="B24" s="262" t="s">
        <v>6</v>
      </c>
      <c r="C24" s="262">
        <v>13430</v>
      </c>
      <c r="D24" s="422" t="s">
        <v>146</v>
      </c>
      <c r="E24" s="266"/>
      <c r="F24" s="266"/>
      <c r="G24" s="266"/>
      <c r="H24" s="266"/>
      <c r="I24" s="266"/>
      <c r="J24" s="266"/>
      <c r="K24" s="429">
        <v>2432.5</v>
      </c>
      <c r="L24" s="428">
        <f t="shared" si="8"/>
        <v>8.3552303913991793E-2</v>
      </c>
      <c r="M24" s="429">
        <v>429</v>
      </c>
      <c r="N24" s="428">
        <f t="shared" si="9"/>
        <v>7.2637995259058591E-2</v>
      </c>
      <c r="O24" s="458"/>
      <c r="P24" s="457"/>
    </row>
    <row r="25" spans="1:16" s="859" customFormat="1" ht="15" customHeight="1" x14ac:dyDescent="0.25">
      <c r="A25" s="30">
        <v>14000</v>
      </c>
      <c r="B25" s="262" t="s">
        <v>7</v>
      </c>
      <c r="C25" s="262">
        <v>14410</v>
      </c>
      <c r="D25" s="422" t="s">
        <v>146</v>
      </c>
      <c r="E25" s="266"/>
      <c r="F25" s="266"/>
      <c r="G25" s="266"/>
      <c r="H25" s="266"/>
      <c r="I25" s="266"/>
      <c r="J25" s="266"/>
      <c r="K25" s="429">
        <v>4847.5</v>
      </c>
      <c r="L25" s="428">
        <f t="shared" si="8"/>
        <v>0.16650351211637213</v>
      </c>
      <c r="M25" s="429">
        <v>1159</v>
      </c>
      <c r="N25" s="428">
        <f t="shared" si="9"/>
        <v>0.19624111073484593</v>
      </c>
      <c r="O25" s="458"/>
      <c r="P25" s="457"/>
    </row>
    <row r="26" spans="1:16" s="859" customFormat="1" ht="15" customHeight="1" x14ac:dyDescent="0.25">
      <c r="A26" s="30">
        <v>15000</v>
      </c>
      <c r="B26" s="262" t="s">
        <v>8</v>
      </c>
      <c r="C26" s="262">
        <v>15410</v>
      </c>
      <c r="D26" s="422" t="s">
        <v>146</v>
      </c>
      <c r="E26" s="266"/>
      <c r="F26" s="266"/>
      <c r="G26" s="266"/>
      <c r="H26" s="266"/>
      <c r="I26" s="266"/>
      <c r="J26" s="266"/>
      <c r="K26" s="429">
        <v>5240.5</v>
      </c>
      <c r="L26" s="428">
        <f t="shared" si="8"/>
        <v>0.18000240438284645</v>
      </c>
      <c r="M26" s="429">
        <v>993</v>
      </c>
      <c r="N26" s="428">
        <f t="shared" si="9"/>
        <v>0.1681341009143244</v>
      </c>
      <c r="O26" s="458"/>
      <c r="P26" s="457"/>
    </row>
    <row r="27" spans="1:16" s="859" customFormat="1" ht="15" customHeight="1" x14ac:dyDescent="0.25">
      <c r="A27" s="30">
        <v>17000</v>
      </c>
      <c r="B27" s="262" t="s">
        <v>9</v>
      </c>
      <c r="C27" s="262">
        <v>17450</v>
      </c>
      <c r="D27" s="422" t="s">
        <v>146</v>
      </c>
      <c r="E27" s="266"/>
      <c r="F27" s="266"/>
      <c r="G27" s="266"/>
      <c r="H27" s="266"/>
      <c r="I27" s="266"/>
      <c r="J27" s="266"/>
      <c r="K27" s="429">
        <v>2512</v>
      </c>
      <c r="L27" s="428">
        <f t="shared" si="8"/>
        <v>8.6282995861026668E-2</v>
      </c>
      <c r="M27" s="429">
        <v>553</v>
      </c>
      <c r="N27" s="428">
        <f t="shared" si="9"/>
        <v>9.3633592956315612E-2</v>
      </c>
      <c r="O27" s="458"/>
      <c r="P27" s="457"/>
    </row>
    <row r="28" spans="1:16" s="859" customFormat="1" ht="15" customHeight="1" x14ac:dyDescent="0.25">
      <c r="A28" s="30">
        <v>18000</v>
      </c>
      <c r="B28" s="262" t="s">
        <v>10</v>
      </c>
      <c r="C28" s="262">
        <v>18440</v>
      </c>
      <c r="D28" s="422" t="s">
        <v>146</v>
      </c>
      <c r="E28" s="266"/>
      <c r="F28" s="266"/>
      <c r="G28" s="266"/>
      <c r="H28" s="266"/>
      <c r="I28" s="266"/>
      <c r="J28" s="266"/>
      <c r="K28" s="429">
        <v>2774.5</v>
      </c>
      <c r="L28" s="428">
        <f t="shared" si="8"/>
        <v>9.5299431535198445E-2</v>
      </c>
      <c r="M28" s="429">
        <v>567</v>
      </c>
      <c r="N28" s="428">
        <f t="shared" si="9"/>
        <v>9.6004063664070438E-2</v>
      </c>
      <c r="O28" s="458"/>
      <c r="P28" s="457"/>
    </row>
    <row r="29" spans="1:16" s="859" customFormat="1" ht="15" customHeight="1" x14ac:dyDescent="0.25">
      <c r="A29" s="30">
        <v>23000</v>
      </c>
      <c r="B29" s="262" t="s">
        <v>14</v>
      </c>
      <c r="C29" s="262">
        <v>23420</v>
      </c>
      <c r="D29" s="422" t="s">
        <v>146</v>
      </c>
      <c r="E29" s="266"/>
      <c r="F29" s="266"/>
      <c r="G29" s="266"/>
      <c r="H29" s="266"/>
      <c r="I29" s="266"/>
      <c r="J29" s="266"/>
      <c r="K29" s="429">
        <v>2078</v>
      </c>
      <c r="L29" s="428">
        <f t="shared" si="8"/>
        <v>7.137582221306267E-2</v>
      </c>
      <c r="M29" s="429">
        <v>376</v>
      </c>
      <c r="N29" s="428">
        <f t="shared" si="9"/>
        <v>6.3664070436843884E-2</v>
      </c>
      <c r="O29" s="458"/>
      <c r="P29" s="457"/>
    </row>
    <row r="30" spans="1:16" s="859" customFormat="1" ht="15" customHeight="1" thickBot="1" x14ac:dyDescent="0.3">
      <c r="A30" s="30">
        <v>24000</v>
      </c>
      <c r="B30" s="432" t="s">
        <v>15</v>
      </c>
      <c r="C30" s="432">
        <v>24510</v>
      </c>
      <c r="D30" s="422" t="s">
        <v>147</v>
      </c>
      <c r="E30" s="266"/>
      <c r="F30" s="266"/>
      <c r="G30" s="266"/>
      <c r="H30" s="266"/>
      <c r="I30" s="266"/>
      <c r="J30" s="266"/>
      <c r="K30" s="439">
        <v>2219</v>
      </c>
      <c r="L30" s="438">
        <f t="shared" si="8"/>
        <v>7.6218936232332085E-2</v>
      </c>
      <c r="M30" s="439">
        <v>311</v>
      </c>
      <c r="N30" s="438">
        <f t="shared" si="9"/>
        <v>5.2658313579410768E-2</v>
      </c>
      <c r="O30" s="458"/>
      <c r="P30" s="457"/>
    </row>
    <row r="31" spans="1:16" s="859" customFormat="1" ht="15.75" thickBot="1" x14ac:dyDescent="0.3">
      <c r="A31" s="1046" t="s">
        <v>28</v>
      </c>
      <c r="B31" s="1047"/>
      <c r="C31" s="1047"/>
      <c r="D31" s="1050"/>
      <c r="E31" s="452"/>
      <c r="F31" s="452"/>
      <c r="G31" s="452"/>
      <c r="H31" s="452"/>
      <c r="I31" s="452"/>
      <c r="J31" s="452"/>
      <c r="K31" s="448">
        <f>SUM(K22:K30)</f>
        <v>29113.5</v>
      </c>
      <c r="L31" s="447">
        <f>SUM(L22:L30)</f>
        <v>1</v>
      </c>
      <c r="M31" s="448">
        <f>SUM(M22:M30)</f>
        <v>5906</v>
      </c>
      <c r="N31" s="447">
        <f>SUM(N22:N30)</f>
        <v>0.99999999999999989</v>
      </c>
      <c r="O31" s="458"/>
      <c r="P31" s="457"/>
    </row>
    <row r="32" spans="1:16" s="859" customFormat="1" x14ac:dyDescent="0.25">
      <c r="A32" s="451"/>
      <c r="B32" s="452"/>
      <c r="C32" s="452"/>
      <c r="D32" s="452"/>
      <c r="E32" s="453"/>
      <c r="F32" s="454"/>
      <c r="G32" s="455"/>
      <c r="H32" s="456"/>
      <c r="I32" s="457"/>
      <c r="J32" s="458"/>
      <c r="K32" s="457"/>
      <c r="L32" s="458"/>
      <c r="M32" s="457"/>
      <c r="N32" s="458"/>
      <c r="O32" s="458"/>
      <c r="P32" s="457"/>
    </row>
    <row r="33" spans="1:14" ht="15.75" thickBot="1" x14ac:dyDescent="0.3">
      <c r="A33" s="611" t="s">
        <v>212</v>
      </c>
    </row>
    <row r="34" spans="1:14" ht="42" customHeight="1" x14ac:dyDescent="0.25">
      <c r="A34" s="1053" t="s">
        <v>2</v>
      </c>
      <c r="B34" s="1055" t="s">
        <v>3</v>
      </c>
      <c r="C34" s="1057" t="s">
        <v>183</v>
      </c>
      <c r="D34" s="1059" t="s">
        <v>142</v>
      </c>
      <c r="E34" s="550"/>
      <c r="F34" s="550"/>
      <c r="G34" s="550"/>
      <c r="H34" s="550"/>
      <c r="I34" s="550"/>
      <c r="J34" s="550"/>
      <c r="K34" s="1051" t="s">
        <v>210</v>
      </c>
      <c r="L34" s="1048" t="s">
        <v>143</v>
      </c>
      <c r="M34" s="1051" t="s">
        <v>211</v>
      </c>
      <c r="N34" s="1048" t="s">
        <v>143</v>
      </c>
    </row>
    <row r="35" spans="1:14" ht="42" customHeight="1" thickBot="1" x14ac:dyDescent="0.3">
      <c r="A35" s="1054"/>
      <c r="B35" s="1056"/>
      <c r="C35" s="1058"/>
      <c r="D35" s="1060"/>
      <c r="E35" s="550"/>
      <c r="F35" s="550"/>
      <c r="G35" s="550"/>
      <c r="H35" s="550"/>
      <c r="I35" s="550"/>
      <c r="J35" s="550"/>
      <c r="K35" s="1052"/>
      <c r="L35" s="1049"/>
      <c r="M35" s="1052"/>
      <c r="N35" s="1049"/>
    </row>
    <row r="36" spans="1:14" x14ac:dyDescent="0.25">
      <c r="A36" s="31">
        <v>11000</v>
      </c>
      <c r="B36" s="551" t="s">
        <v>4</v>
      </c>
      <c r="C36" s="411">
        <v>11410</v>
      </c>
      <c r="D36" s="552" t="s">
        <v>146</v>
      </c>
      <c r="E36" s="266"/>
      <c r="F36" s="266"/>
      <c r="G36" s="266"/>
      <c r="H36" s="266"/>
      <c r="I36" s="266"/>
      <c r="J36" s="266"/>
      <c r="K36" s="419">
        <v>5080</v>
      </c>
      <c r="L36" s="418">
        <f>K36/$K$45</f>
        <v>0.17830504905143821</v>
      </c>
      <c r="M36" s="419">
        <v>945</v>
      </c>
      <c r="N36" s="418">
        <f>M36/$M$45</f>
        <v>0.15805318615153036</v>
      </c>
    </row>
    <row r="37" spans="1:14" x14ac:dyDescent="0.25">
      <c r="A37" s="30">
        <v>12000</v>
      </c>
      <c r="B37" s="262" t="s">
        <v>5</v>
      </c>
      <c r="C37" s="262">
        <v>12410</v>
      </c>
      <c r="D37" s="422" t="s">
        <v>146</v>
      </c>
      <c r="E37" s="266"/>
      <c r="F37" s="266"/>
      <c r="G37" s="266"/>
      <c r="H37" s="266"/>
      <c r="I37" s="266"/>
      <c r="J37" s="266"/>
      <c r="K37" s="429">
        <v>1790.5</v>
      </c>
      <c r="L37" s="428">
        <f t="shared" ref="L37:L44" si="10">K37/$K$45</f>
        <v>6.2845509906811037E-2</v>
      </c>
      <c r="M37" s="429">
        <v>456</v>
      </c>
      <c r="N37" s="428">
        <f t="shared" ref="N37:N44" si="11">M37/$M$45</f>
        <v>7.6266934269944811E-2</v>
      </c>
    </row>
    <row r="38" spans="1:14" ht="15" customHeight="1" x14ac:dyDescent="0.25">
      <c r="A38" s="30">
        <v>13000</v>
      </c>
      <c r="B38" s="262" t="s">
        <v>6</v>
      </c>
      <c r="C38" s="262">
        <v>13430</v>
      </c>
      <c r="D38" s="422" t="s">
        <v>146</v>
      </c>
      <c r="E38" s="266"/>
      <c r="F38" s="266"/>
      <c r="G38" s="266"/>
      <c r="H38" s="266"/>
      <c r="I38" s="266"/>
      <c r="J38" s="266"/>
      <c r="K38" s="429">
        <v>2573</v>
      </c>
      <c r="L38" s="428">
        <f t="shared" si="10"/>
        <v>9.031080535617135E-2</v>
      </c>
      <c r="M38" s="429">
        <v>547</v>
      </c>
      <c r="N38" s="428">
        <f t="shared" si="11"/>
        <v>9.1486870714166252E-2</v>
      </c>
    </row>
    <row r="39" spans="1:14" x14ac:dyDescent="0.25">
      <c r="A39" s="30">
        <v>14000</v>
      </c>
      <c r="B39" s="262" t="s">
        <v>7</v>
      </c>
      <c r="C39" s="262">
        <v>14410</v>
      </c>
      <c r="D39" s="422" t="s">
        <v>146</v>
      </c>
      <c r="E39" s="266"/>
      <c r="F39" s="266"/>
      <c r="G39" s="266"/>
      <c r="H39" s="266"/>
      <c r="I39" s="266"/>
      <c r="J39" s="266"/>
      <c r="K39" s="429">
        <v>4700.5</v>
      </c>
      <c r="L39" s="428">
        <f t="shared" si="10"/>
        <v>0.16498481950123725</v>
      </c>
      <c r="M39" s="429">
        <v>1243</v>
      </c>
      <c r="N39" s="428">
        <f t="shared" si="11"/>
        <v>0.20789429670513465</v>
      </c>
    </row>
    <row r="40" spans="1:14" x14ac:dyDescent="0.25">
      <c r="A40" s="30">
        <v>15000</v>
      </c>
      <c r="B40" s="262" t="s">
        <v>8</v>
      </c>
      <c r="C40" s="262">
        <v>15410</v>
      </c>
      <c r="D40" s="422" t="s">
        <v>146</v>
      </c>
      <c r="E40" s="266"/>
      <c r="F40" s="266"/>
      <c r="G40" s="266"/>
      <c r="H40" s="266"/>
      <c r="I40" s="266"/>
      <c r="J40" s="266"/>
      <c r="K40" s="429">
        <v>5107</v>
      </c>
      <c r="L40" s="428">
        <f t="shared" si="10"/>
        <v>0.17925273336726277</v>
      </c>
      <c r="M40" s="429">
        <v>932</v>
      </c>
      <c r="N40" s="428">
        <f t="shared" si="11"/>
        <v>0.15587890951664157</v>
      </c>
    </row>
    <row r="41" spans="1:14" x14ac:dyDescent="0.25">
      <c r="A41" s="30">
        <v>17000</v>
      </c>
      <c r="B41" s="262" t="s">
        <v>9</v>
      </c>
      <c r="C41" s="262">
        <v>17450</v>
      </c>
      <c r="D41" s="422" t="s">
        <v>146</v>
      </c>
      <c r="E41" s="266"/>
      <c r="F41" s="266"/>
      <c r="G41" s="266"/>
      <c r="H41" s="266"/>
      <c r="I41" s="266"/>
      <c r="J41" s="266"/>
      <c r="K41" s="429">
        <v>2395</v>
      </c>
      <c r="L41" s="428">
        <f t="shared" si="10"/>
        <v>8.4063108755550092E-2</v>
      </c>
      <c r="M41" s="429">
        <v>535</v>
      </c>
      <c r="N41" s="428">
        <f t="shared" si="11"/>
        <v>8.9479846128115076E-2</v>
      </c>
    </row>
    <row r="42" spans="1:14" x14ac:dyDescent="0.25">
      <c r="A42" s="30">
        <v>18000</v>
      </c>
      <c r="B42" s="262" t="s">
        <v>10</v>
      </c>
      <c r="C42" s="262">
        <v>18440</v>
      </c>
      <c r="D42" s="422" t="s">
        <v>146</v>
      </c>
      <c r="E42" s="266"/>
      <c r="F42" s="266"/>
      <c r="G42" s="266"/>
      <c r="H42" s="266"/>
      <c r="I42" s="266"/>
      <c r="J42" s="266"/>
      <c r="K42" s="429">
        <v>2826.5</v>
      </c>
      <c r="L42" s="428">
        <f t="shared" si="10"/>
        <v>9.9208508099190962E-2</v>
      </c>
      <c r="M42" s="429">
        <v>568</v>
      </c>
      <c r="N42" s="428">
        <f t="shared" si="11"/>
        <v>9.499916373975581E-2</v>
      </c>
    </row>
    <row r="43" spans="1:14" x14ac:dyDescent="0.25">
      <c r="A43" s="30">
        <v>23000</v>
      </c>
      <c r="B43" s="262" t="s">
        <v>14</v>
      </c>
      <c r="C43" s="262">
        <v>23420</v>
      </c>
      <c r="D43" s="422" t="s">
        <v>146</v>
      </c>
      <c r="E43" s="266"/>
      <c r="F43" s="266"/>
      <c r="G43" s="266"/>
      <c r="H43" s="266"/>
      <c r="I43" s="266"/>
      <c r="J43" s="266"/>
      <c r="K43" s="429">
        <v>1933</v>
      </c>
      <c r="L43" s="428">
        <f t="shared" si="10"/>
        <v>6.7847177129218506E-2</v>
      </c>
      <c r="M43" s="429">
        <v>391</v>
      </c>
      <c r="N43" s="428">
        <f t="shared" si="11"/>
        <v>6.5395551095500923E-2</v>
      </c>
    </row>
    <row r="44" spans="1:14" ht="15.75" thickBot="1" x14ac:dyDescent="0.3">
      <c r="A44" s="30">
        <v>24000</v>
      </c>
      <c r="B44" s="432" t="s">
        <v>15</v>
      </c>
      <c r="C44" s="432">
        <v>24510</v>
      </c>
      <c r="D44" s="422" t="s">
        <v>147</v>
      </c>
      <c r="E44" s="266"/>
      <c r="F44" s="266"/>
      <c r="G44" s="266"/>
      <c r="H44" s="266"/>
      <c r="I44" s="266"/>
      <c r="J44" s="266"/>
      <c r="K44" s="439">
        <v>2085</v>
      </c>
      <c r="L44" s="438">
        <f t="shared" si="10"/>
        <v>7.3182288833119807E-2</v>
      </c>
      <c r="M44" s="439">
        <v>362</v>
      </c>
      <c r="N44" s="438">
        <f t="shared" si="11"/>
        <v>6.0545241679210569E-2</v>
      </c>
    </row>
    <row r="45" spans="1:14" ht="15.75" thickBot="1" x14ac:dyDescent="0.3">
      <c r="A45" s="1046" t="s">
        <v>28</v>
      </c>
      <c r="B45" s="1047"/>
      <c r="C45" s="1047"/>
      <c r="D45" s="1050"/>
      <c r="E45" s="452"/>
      <c r="F45" s="452"/>
      <c r="G45" s="452"/>
      <c r="H45" s="452"/>
      <c r="I45" s="452"/>
      <c r="J45" s="452"/>
      <c r="K45" s="448">
        <f>SUM(K36:K44)</f>
        <v>28490.5</v>
      </c>
      <c r="L45" s="447">
        <f>SUM(L36:L44)</f>
        <v>1</v>
      </c>
      <c r="M45" s="448">
        <f>SUM(M36:M44)</f>
        <v>5979</v>
      </c>
      <c r="N45" s="447">
        <f>SUM(N36:N44)</f>
        <v>1</v>
      </c>
    </row>
    <row r="46" spans="1:14" x14ac:dyDescent="0.25">
      <c r="A46" s="534"/>
      <c r="B46" s="534"/>
      <c r="D46" s="534"/>
      <c r="E46" s="534"/>
      <c r="F46" s="534"/>
      <c r="G46" s="534"/>
      <c r="H46" s="534"/>
      <c r="I46" s="534"/>
      <c r="J46" s="534"/>
      <c r="K46" s="534"/>
      <c r="L46" s="534"/>
      <c r="M46" s="534"/>
      <c r="N46" s="534"/>
    </row>
    <row r="47" spans="1:14" ht="15.75" thickBot="1" x14ac:dyDescent="0.3">
      <c r="A47" s="534" t="s">
        <v>180</v>
      </c>
      <c r="B47" s="534"/>
      <c r="D47" s="534"/>
      <c r="E47" s="534"/>
      <c r="F47" s="534"/>
      <c r="G47" s="534"/>
      <c r="H47" s="534"/>
      <c r="I47" s="534"/>
      <c r="J47" s="534"/>
      <c r="K47" s="534"/>
      <c r="L47" s="534"/>
      <c r="M47" s="534"/>
      <c r="N47" s="534"/>
    </row>
    <row r="48" spans="1:14" ht="42" customHeight="1" x14ac:dyDescent="0.25">
      <c r="A48" s="1053" t="s">
        <v>2</v>
      </c>
      <c r="B48" s="1055" t="s">
        <v>3</v>
      </c>
      <c r="C48" s="1057" t="s">
        <v>183</v>
      </c>
      <c r="D48" s="1059" t="s">
        <v>142</v>
      </c>
      <c r="E48" s="550"/>
      <c r="F48" s="550"/>
      <c r="G48" s="550"/>
      <c r="H48" s="550"/>
      <c r="I48" s="550"/>
      <c r="J48" s="550"/>
      <c r="K48" s="1051" t="s">
        <v>173</v>
      </c>
      <c r="L48" s="1048" t="s">
        <v>143</v>
      </c>
      <c r="M48" s="1051" t="s">
        <v>174</v>
      </c>
      <c r="N48" s="1048" t="s">
        <v>143</v>
      </c>
    </row>
    <row r="49" spans="1:14" ht="42" customHeight="1" thickBot="1" x14ac:dyDescent="0.3">
      <c r="A49" s="1054"/>
      <c r="B49" s="1056"/>
      <c r="C49" s="1058"/>
      <c r="D49" s="1060"/>
      <c r="E49" s="550"/>
      <c r="F49" s="550"/>
      <c r="G49" s="550"/>
      <c r="H49" s="550"/>
      <c r="I49" s="550"/>
      <c r="J49" s="550"/>
      <c r="K49" s="1052"/>
      <c r="L49" s="1049"/>
      <c r="M49" s="1052"/>
      <c r="N49" s="1049"/>
    </row>
    <row r="50" spans="1:14" x14ac:dyDescent="0.25">
      <c r="A50" s="31">
        <v>11000</v>
      </c>
      <c r="B50" s="551" t="s">
        <v>4</v>
      </c>
      <c r="C50" s="411">
        <v>11410</v>
      </c>
      <c r="D50" s="552" t="s">
        <v>146</v>
      </c>
      <c r="E50" s="266"/>
      <c r="F50" s="266"/>
      <c r="G50" s="266"/>
      <c r="H50" s="266"/>
      <c r="I50" s="266"/>
      <c r="J50" s="266"/>
      <c r="K50" s="419">
        <v>4567.5</v>
      </c>
      <c r="L50" s="418">
        <f>K50/$K$59</f>
        <v>0.17121490422461297</v>
      </c>
      <c r="M50" s="419">
        <v>942</v>
      </c>
      <c r="N50" s="418">
        <f>M50/$M$59</f>
        <v>0.15912162162162163</v>
      </c>
    </row>
    <row r="51" spans="1:14" x14ac:dyDescent="0.25">
      <c r="A51" s="30">
        <v>12000</v>
      </c>
      <c r="B51" s="262" t="s">
        <v>5</v>
      </c>
      <c r="C51" s="262">
        <v>12410</v>
      </c>
      <c r="D51" s="422" t="s">
        <v>146</v>
      </c>
      <c r="E51" s="266"/>
      <c r="F51" s="266"/>
      <c r="G51" s="266"/>
      <c r="H51" s="266"/>
      <c r="I51" s="266"/>
      <c r="J51" s="266"/>
      <c r="K51" s="429">
        <v>1982.5</v>
      </c>
      <c r="L51" s="428">
        <f t="shared" ref="L51:L58" si="12">K51/$K$59</f>
        <v>7.4314952955729652E-2</v>
      </c>
      <c r="M51" s="429">
        <v>529</v>
      </c>
      <c r="N51" s="428">
        <f t="shared" ref="N51:N58" si="13">M51/$M$59</f>
        <v>8.9358108108108111E-2</v>
      </c>
    </row>
    <row r="52" spans="1:14" ht="15" customHeight="1" x14ac:dyDescent="0.25">
      <c r="A52" s="30">
        <v>13000</v>
      </c>
      <c r="B52" s="262" t="s">
        <v>6</v>
      </c>
      <c r="C52" s="262">
        <v>13430</v>
      </c>
      <c r="D52" s="422" t="s">
        <v>146</v>
      </c>
      <c r="E52" s="266"/>
      <c r="F52" s="266"/>
      <c r="G52" s="266"/>
      <c r="H52" s="266"/>
      <c r="I52" s="266"/>
      <c r="J52" s="266"/>
      <c r="K52" s="429">
        <v>2527</v>
      </c>
      <c r="L52" s="428">
        <f t="shared" si="12"/>
        <v>9.4725793754919962E-2</v>
      </c>
      <c r="M52" s="429">
        <v>531</v>
      </c>
      <c r="N52" s="428">
        <f t="shared" si="13"/>
        <v>8.9695945945945946E-2</v>
      </c>
    </row>
    <row r="53" spans="1:14" x14ac:dyDescent="0.25">
      <c r="A53" s="30">
        <v>14000</v>
      </c>
      <c r="B53" s="262" t="s">
        <v>7</v>
      </c>
      <c r="C53" s="262">
        <v>14410</v>
      </c>
      <c r="D53" s="422" t="s">
        <v>146</v>
      </c>
      <c r="E53" s="266"/>
      <c r="F53" s="266"/>
      <c r="G53" s="266"/>
      <c r="H53" s="266"/>
      <c r="I53" s="266"/>
      <c r="J53" s="266"/>
      <c r="K53" s="429">
        <v>4486.5</v>
      </c>
      <c r="L53" s="428">
        <f t="shared" si="12"/>
        <v>0.16817858079994003</v>
      </c>
      <c r="M53" s="429">
        <v>1076</v>
      </c>
      <c r="N53" s="428">
        <f t="shared" si="13"/>
        <v>0.18175675675675676</v>
      </c>
    </row>
    <row r="54" spans="1:14" x14ac:dyDescent="0.25">
      <c r="A54" s="30">
        <v>15000</v>
      </c>
      <c r="B54" s="262" t="s">
        <v>8</v>
      </c>
      <c r="C54" s="262">
        <v>15410</v>
      </c>
      <c r="D54" s="422" t="s">
        <v>146</v>
      </c>
      <c r="E54" s="266"/>
      <c r="F54" s="266"/>
      <c r="G54" s="266"/>
      <c r="H54" s="266"/>
      <c r="I54" s="266"/>
      <c r="J54" s="266"/>
      <c r="K54" s="429">
        <v>4497</v>
      </c>
      <c r="L54" s="428">
        <f t="shared" si="12"/>
        <v>0.16857217828091614</v>
      </c>
      <c r="M54" s="429">
        <v>970</v>
      </c>
      <c r="N54" s="428">
        <f t="shared" si="13"/>
        <v>0.16385135135135134</v>
      </c>
    </row>
    <row r="55" spans="1:14" x14ac:dyDescent="0.25">
      <c r="A55" s="30">
        <v>17000</v>
      </c>
      <c r="B55" s="262" t="s">
        <v>9</v>
      </c>
      <c r="C55" s="262">
        <v>17450</v>
      </c>
      <c r="D55" s="422" t="s">
        <v>146</v>
      </c>
      <c r="E55" s="266"/>
      <c r="F55" s="266"/>
      <c r="G55" s="266"/>
      <c r="H55" s="266"/>
      <c r="I55" s="266"/>
      <c r="J55" s="266"/>
      <c r="K55" s="429">
        <v>2169</v>
      </c>
      <c r="L55" s="428">
        <f t="shared" si="12"/>
        <v>8.1305993927353146E-2</v>
      </c>
      <c r="M55" s="429">
        <v>572</v>
      </c>
      <c r="N55" s="428">
        <f t="shared" si="13"/>
        <v>9.662162162162162E-2</v>
      </c>
    </row>
    <row r="56" spans="1:14" x14ac:dyDescent="0.25">
      <c r="A56" s="30">
        <v>18000</v>
      </c>
      <c r="B56" s="262" t="s">
        <v>10</v>
      </c>
      <c r="C56" s="262">
        <v>18440</v>
      </c>
      <c r="D56" s="422" t="s">
        <v>146</v>
      </c>
      <c r="E56" s="266"/>
      <c r="F56" s="266"/>
      <c r="G56" s="266"/>
      <c r="H56" s="266"/>
      <c r="I56" s="266"/>
      <c r="J56" s="266"/>
      <c r="K56" s="429">
        <v>2637</v>
      </c>
      <c r="L56" s="428">
        <f t="shared" si="12"/>
        <v>9.8849195936574583E-2</v>
      </c>
      <c r="M56" s="429">
        <v>596</v>
      </c>
      <c r="N56" s="428">
        <f t="shared" si="13"/>
        <v>0.10067567567567567</v>
      </c>
    </row>
    <row r="57" spans="1:14" x14ac:dyDescent="0.25">
      <c r="A57" s="30">
        <v>23000</v>
      </c>
      <c r="B57" s="262" t="s">
        <v>14</v>
      </c>
      <c r="C57" s="262">
        <v>23420</v>
      </c>
      <c r="D57" s="422" t="s">
        <v>146</v>
      </c>
      <c r="E57" s="266"/>
      <c r="F57" s="266"/>
      <c r="G57" s="266"/>
      <c r="H57" s="266"/>
      <c r="I57" s="266"/>
      <c r="J57" s="266"/>
      <c r="K57" s="429">
        <v>1799</v>
      </c>
      <c r="L57" s="428">
        <f t="shared" si="12"/>
        <v>6.7436368407242195E-2</v>
      </c>
      <c r="M57" s="429">
        <v>353</v>
      </c>
      <c r="N57" s="428">
        <f t="shared" si="13"/>
        <v>5.962837837837838E-2</v>
      </c>
    </row>
    <row r="58" spans="1:14" ht="15.75" thickBot="1" x14ac:dyDescent="0.3">
      <c r="A58" s="30">
        <v>24000</v>
      </c>
      <c r="B58" s="432" t="s">
        <v>15</v>
      </c>
      <c r="C58" s="432">
        <v>24510</v>
      </c>
      <c r="D58" s="422" t="s">
        <v>147</v>
      </c>
      <c r="E58" s="266"/>
      <c r="F58" s="266"/>
      <c r="G58" s="266"/>
      <c r="H58" s="266"/>
      <c r="I58" s="266"/>
      <c r="J58" s="266"/>
      <c r="K58" s="439">
        <v>2011.5</v>
      </c>
      <c r="L58" s="438">
        <f t="shared" si="12"/>
        <v>7.5402031712711329E-2</v>
      </c>
      <c r="M58" s="439">
        <v>351</v>
      </c>
      <c r="N58" s="438">
        <f t="shared" si="13"/>
        <v>5.9290540540540539E-2</v>
      </c>
    </row>
    <row r="59" spans="1:14" ht="15.75" thickBot="1" x14ac:dyDescent="0.3">
      <c r="A59" s="1046" t="s">
        <v>28</v>
      </c>
      <c r="B59" s="1047"/>
      <c r="C59" s="1047"/>
      <c r="D59" s="1050"/>
      <c r="E59" s="452"/>
      <c r="F59" s="452"/>
      <c r="G59" s="452"/>
      <c r="H59" s="452"/>
      <c r="I59" s="452"/>
      <c r="J59" s="452"/>
      <c r="K59" s="448">
        <f>SUM(K50:K58)</f>
        <v>26677</v>
      </c>
      <c r="L59" s="447">
        <f>SUM(L50:L58)</f>
        <v>1.0000000000000002</v>
      </c>
      <c r="M59" s="448">
        <f>SUM(M50:M58)</f>
        <v>5920</v>
      </c>
      <c r="N59" s="447">
        <f>SUM(N50:N58)</f>
        <v>1</v>
      </c>
    </row>
    <row r="60" spans="1:14" x14ac:dyDescent="0.25">
      <c r="A60" s="534"/>
      <c r="B60" s="534"/>
      <c r="D60" s="534"/>
      <c r="E60" s="534"/>
      <c r="F60" s="534"/>
      <c r="G60" s="534"/>
      <c r="H60" s="534"/>
      <c r="I60" s="534"/>
      <c r="J60" s="534"/>
      <c r="K60" s="534"/>
      <c r="L60" s="534"/>
      <c r="M60" s="534"/>
      <c r="N60" s="534"/>
    </row>
    <row r="62" spans="1:14" x14ac:dyDescent="0.25">
      <c r="A62" s="710" t="s">
        <v>280</v>
      </c>
      <c r="B62" s="41"/>
    </row>
  </sheetData>
  <mergeCells count="50">
    <mergeCell ref="O5:P5"/>
    <mergeCell ref="A5:D5"/>
    <mergeCell ref="E5:F5"/>
    <mergeCell ref="G5:J5"/>
    <mergeCell ref="K5:L5"/>
    <mergeCell ref="M5:N5"/>
    <mergeCell ref="O6:O7"/>
    <mergeCell ref="P6:P7"/>
    <mergeCell ref="A17:D17"/>
    <mergeCell ref="H6:H7"/>
    <mergeCell ref="I6:I7"/>
    <mergeCell ref="J6:J7"/>
    <mergeCell ref="K6:K7"/>
    <mergeCell ref="L6:L7"/>
    <mergeCell ref="M6:M7"/>
    <mergeCell ref="A6:A7"/>
    <mergeCell ref="B6:B7"/>
    <mergeCell ref="D6:D7"/>
    <mergeCell ref="E6:E7"/>
    <mergeCell ref="F6:F7"/>
    <mergeCell ref="G6:G7"/>
    <mergeCell ref="C6:C7"/>
    <mergeCell ref="L48:L49"/>
    <mergeCell ref="M48:M49"/>
    <mergeCell ref="A59:D59"/>
    <mergeCell ref="N48:N49"/>
    <mergeCell ref="A34:A35"/>
    <mergeCell ref="B34:B35"/>
    <mergeCell ref="C34:C35"/>
    <mergeCell ref="D34:D35"/>
    <mergeCell ref="K34:K35"/>
    <mergeCell ref="A48:A49"/>
    <mergeCell ref="B48:B49"/>
    <mergeCell ref="C48:C49"/>
    <mergeCell ref="D48:D49"/>
    <mergeCell ref="K48:K49"/>
    <mergeCell ref="L34:L35"/>
    <mergeCell ref="M34:M35"/>
    <mergeCell ref="N34:N35"/>
    <mergeCell ref="A45:D45"/>
    <mergeCell ref="N6:N7"/>
    <mergeCell ref="L20:L21"/>
    <mergeCell ref="M20:M21"/>
    <mergeCell ref="N20:N21"/>
    <mergeCell ref="A31:D31"/>
    <mergeCell ref="A20:A21"/>
    <mergeCell ref="B20:B21"/>
    <mergeCell ref="C20:C21"/>
    <mergeCell ref="D20:D21"/>
    <mergeCell ref="K20:K21"/>
  </mergeCells>
  <hyperlinks>
    <hyperlink ref="A62" location="'0 Seznam'!A1" display="Seznam" xr:uid="{8B7B23EC-54C0-4F39-A304-00F19E97B628}"/>
  </hyperlinks>
  <pageMargins left="0.70866141732283472" right="0.70866141732283472" top="0.78740157480314965" bottom="0.78740157480314965" header="0.31496062992125984" footer="0.31496062992125984"/>
  <pageSetup paperSize="8" scale="73" orientation="landscape" r:id="rId1"/>
  <headerFooter>
    <oddHeader xml:space="preserve">&amp;LČ. j.: 5674/2022-1
</oddHeader>
  </headerFooter>
  <ignoredErrors>
    <ignoredError sqref="P1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19</vt:i4>
      </vt:variant>
    </vt:vector>
  </HeadingPairs>
  <TitlesOfParts>
    <vt:vector size="19" baseType="lpstr">
      <vt:lpstr>0 Seznam</vt:lpstr>
      <vt:lpstr>1 Bilance</vt:lpstr>
      <vt:lpstr>2 Nastavení podílů segmentů</vt:lpstr>
      <vt:lpstr>2a Výkonová část segment 1</vt:lpstr>
      <vt:lpstr>2b Výkonová část segment 2</vt:lpstr>
      <vt:lpstr>2c Výkonová část segment 3</vt:lpstr>
      <vt:lpstr>2d Výkonová část segment 4</vt:lpstr>
      <vt:lpstr>3a Ukazatel P - lékařské fakult</vt:lpstr>
      <vt:lpstr>3b Ukazatel P - Pedagog. fak.</vt:lpstr>
      <vt:lpstr>3c Ukazatel P - pedagogické SP</vt:lpstr>
      <vt:lpstr>3d Ukazatel P - deficitní aprob</vt:lpstr>
      <vt:lpstr>4 RO I</vt:lpstr>
      <vt:lpstr>5 Ukazatel C</vt:lpstr>
      <vt:lpstr>6 Ukazatel J</vt:lpstr>
      <vt:lpstr>7 Ukazatel U</vt:lpstr>
      <vt:lpstr>8 Ukazatel I</vt:lpstr>
      <vt:lpstr>9 Fond umělecké činnosti</vt:lpstr>
      <vt:lpstr>10a Ukazatel F - U3V</vt:lpstr>
      <vt:lpstr>10b Ukazatel F - SSP</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Ludvík Jiří</dc:creator>
  <cp:lastModifiedBy>Ludvík Jiří</cp:lastModifiedBy>
  <cp:lastPrinted>2022-03-23T13:17:04Z</cp:lastPrinted>
  <dcterms:created xsi:type="dcterms:W3CDTF">2018-12-11T07:31:06Z</dcterms:created>
  <dcterms:modified xsi:type="dcterms:W3CDTF">2022-03-30T07:09:55Z</dcterms:modified>
</cp:coreProperties>
</file>