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mc:AlternateContent xmlns:mc="http://schemas.openxmlformats.org/markup-compatibility/2006">
    <mc:Choice Requires="x15">
      <x15ac:absPath xmlns:x15ac="http://schemas.microsoft.com/office/spreadsheetml/2010/11/ac" url="C:\Users\valasekp\Documents\1. Pracovní\2023\Rozpočet 2023\Dokumenty na web\"/>
    </mc:Choice>
  </mc:AlternateContent>
  <xr:revisionPtr revIDLastSave="0" documentId="8_{8BD4EF09-0AE4-482C-AC46-4B377303C387}" xr6:coauthVersionLast="47" xr6:coauthVersionMax="47" xr10:uidLastSave="{00000000-0000-0000-0000-000000000000}"/>
  <bookViews>
    <workbookView xWindow="-120" yWindow="-120" windowWidth="29040" windowHeight="15720" tabRatio="897" xr2:uid="{00000000-000D-0000-FFFF-FFFF00000000}"/>
  </bookViews>
  <sheets>
    <sheet name="0 Seznam" sheetId="32" r:id="rId1"/>
    <sheet name="1 Bilance" sheetId="31" r:id="rId2"/>
    <sheet name="2 Nastavení podílů segmentů" sheetId="36" r:id="rId3"/>
    <sheet name="2a Výkonová část segment 1" sheetId="15" r:id="rId4"/>
    <sheet name="2b Výkonová část segment 2" sheetId="16" r:id="rId5"/>
    <sheet name="2c Výkonová část segment 3" sheetId="17" r:id="rId6"/>
    <sheet name="2d Výkonová část segment 4" sheetId="18" r:id="rId7"/>
    <sheet name="3a Ukazatel P - lékařské fakult" sheetId="34" r:id="rId8"/>
    <sheet name="3b Ukazatel P - Pedagog. fak." sheetId="20" r:id="rId9"/>
    <sheet name="3c Ukazatel P - pedagogické SP" sheetId="24" r:id="rId10"/>
    <sheet name="3d Ukazatel P - deficitní aprob" sheetId="33" r:id="rId11"/>
    <sheet name="4 RO I" sheetId="10" r:id="rId12"/>
    <sheet name="5 Ukazatel C" sheetId="12" r:id="rId13"/>
    <sheet name="6 Ukazatel J" sheetId="19" r:id="rId14"/>
    <sheet name="7 Ukazatel U" sheetId="13" r:id="rId15"/>
    <sheet name="8 Ukazatel I" sheetId="26" r:id="rId16"/>
    <sheet name="9 Fond umělecké činnosti" sheetId="27" r:id="rId17"/>
    <sheet name="10a Ukazatel F - U3V" sheetId="21" r:id="rId18"/>
    <sheet name="10b Ukazatel F - SSP" sheetId="22"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10" l="1"/>
  <c r="G19" i="10"/>
  <c r="C6" i="10"/>
  <c r="H38" i="10"/>
  <c r="H37" i="10"/>
  <c r="D11" i="13" l="1"/>
  <c r="D10" i="13"/>
  <c r="D10" i="12" l="1"/>
  <c r="D11" i="12"/>
  <c r="D12" i="12"/>
  <c r="D13" i="12"/>
  <c r="D36" i="12" s="1"/>
  <c r="D14" i="12"/>
  <c r="D15" i="12"/>
  <c r="D16" i="12"/>
  <c r="D17" i="12"/>
  <c r="D18" i="12"/>
  <c r="D19" i="12"/>
  <c r="D20" i="12"/>
  <c r="D21" i="12"/>
  <c r="D22" i="12"/>
  <c r="D23" i="12"/>
  <c r="D24" i="12"/>
  <c r="D25" i="12"/>
  <c r="D26" i="12"/>
  <c r="D27" i="12"/>
  <c r="D28" i="12"/>
  <c r="D29" i="12"/>
  <c r="D30" i="12"/>
  <c r="D31" i="12"/>
  <c r="D32" i="12"/>
  <c r="D33" i="12"/>
  <c r="D34" i="12"/>
  <c r="D35" i="12"/>
  <c r="C36" i="12"/>
  <c r="G82" i="33" l="1"/>
  <c r="H81" i="33" s="1"/>
  <c r="E82" i="33"/>
  <c r="F78" i="33" s="1"/>
  <c r="H80" i="33"/>
  <c r="H79" i="33"/>
  <c r="H78" i="33"/>
  <c r="H76" i="33"/>
  <c r="F76" i="33"/>
  <c r="H75" i="33"/>
  <c r="H73" i="33"/>
  <c r="H72" i="33"/>
  <c r="H71" i="33"/>
  <c r="H70" i="33"/>
  <c r="F70" i="33"/>
  <c r="H68" i="33"/>
  <c r="F68" i="33"/>
  <c r="H67" i="33"/>
  <c r="G62" i="33"/>
  <c r="H60" i="33" s="1"/>
  <c r="E62" i="33"/>
  <c r="F60" i="33" s="1"/>
  <c r="G43" i="33"/>
  <c r="H42" i="33" s="1"/>
  <c r="E43" i="33"/>
  <c r="F41" i="33" s="1"/>
  <c r="F31" i="33"/>
  <c r="F29" i="33"/>
  <c r="G23" i="33"/>
  <c r="E23" i="33"/>
  <c r="F58" i="33" l="1"/>
  <c r="F33" i="33"/>
  <c r="F50" i="33"/>
  <c r="F11" i="33"/>
  <c r="F35" i="33"/>
  <c r="F54" i="33"/>
  <c r="F74" i="33"/>
  <c r="H36" i="33"/>
  <c r="H40" i="33"/>
  <c r="H30" i="33"/>
  <c r="H35" i="33"/>
  <c r="H39" i="33"/>
  <c r="F49" i="33"/>
  <c r="F53" i="33"/>
  <c r="F57" i="33"/>
  <c r="F61" i="33"/>
  <c r="H31" i="33"/>
  <c r="H34" i="33"/>
  <c r="H37" i="33"/>
  <c r="H41" i="33"/>
  <c r="H21" i="33" s="1"/>
  <c r="F47" i="33"/>
  <c r="F51" i="33"/>
  <c r="F55" i="33"/>
  <c r="F59" i="33"/>
  <c r="H69" i="33"/>
  <c r="F72" i="33"/>
  <c r="H74" i="33"/>
  <c r="H77" i="33"/>
  <c r="H28" i="33"/>
  <c r="H33" i="33"/>
  <c r="H29" i="33"/>
  <c r="H32" i="33"/>
  <c r="H38" i="33"/>
  <c r="F48" i="33"/>
  <c r="F9" i="33" s="1"/>
  <c r="F52" i="33"/>
  <c r="F56" i="33"/>
  <c r="H82" i="33"/>
  <c r="H47" i="33"/>
  <c r="H49" i="33"/>
  <c r="H51" i="33"/>
  <c r="H12" i="33" s="1"/>
  <c r="H53" i="33"/>
  <c r="H14" i="33" s="1"/>
  <c r="H55" i="33"/>
  <c r="H16" i="33" s="1"/>
  <c r="H57" i="33"/>
  <c r="H59" i="33"/>
  <c r="H20" i="33" s="1"/>
  <c r="H61" i="33"/>
  <c r="H22" i="33" s="1"/>
  <c r="F37" i="33"/>
  <c r="F39" i="33"/>
  <c r="F19" i="33" s="1"/>
  <c r="F80" i="33"/>
  <c r="F21" i="33" s="1"/>
  <c r="F28" i="33"/>
  <c r="F30" i="33"/>
  <c r="F32" i="33"/>
  <c r="F34" i="33"/>
  <c r="F36" i="33"/>
  <c r="F38" i="33"/>
  <c r="F40" i="33"/>
  <c r="F42" i="33"/>
  <c r="F67" i="33"/>
  <c r="F69" i="33"/>
  <c r="F71" i="33"/>
  <c r="F73" i="33"/>
  <c r="F75" i="33"/>
  <c r="F77" i="33"/>
  <c r="F79" i="33"/>
  <c r="F81" i="33"/>
  <c r="H48" i="33"/>
  <c r="H9" i="33" s="1"/>
  <c r="I9" i="33" s="1"/>
  <c r="J9" i="33" s="1"/>
  <c r="H50" i="33"/>
  <c r="H11" i="33" s="1"/>
  <c r="I11" i="33" s="1"/>
  <c r="J11" i="33" s="1"/>
  <c r="L20" i="10" s="1"/>
  <c r="H52" i="33"/>
  <c r="H54" i="33"/>
  <c r="H56" i="33"/>
  <c r="H17" i="33" s="1"/>
  <c r="H58" i="33"/>
  <c r="H19" i="33" s="1"/>
  <c r="I21" i="33" l="1"/>
  <c r="J21" i="33" s="1"/>
  <c r="L30" i="10" s="1"/>
  <c r="F15" i="33"/>
  <c r="I19" i="33"/>
  <c r="J19" i="33" s="1"/>
  <c r="L28" i="10" s="1"/>
  <c r="H10" i="33"/>
  <c r="H43" i="33"/>
  <c r="H15" i="33"/>
  <c r="I15" i="33" s="1"/>
  <c r="J15" i="33" s="1"/>
  <c r="H13" i="33"/>
  <c r="H18" i="33"/>
  <c r="F62" i="33"/>
  <c r="F17" i="33"/>
  <c r="I17" i="33" s="1"/>
  <c r="J17" i="33" s="1"/>
  <c r="L25" i="10" s="1"/>
  <c r="F13" i="33"/>
  <c r="F22" i="33"/>
  <c r="I22" i="33" s="1"/>
  <c r="J22" i="33" s="1"/>
  <c r="L35" i="10" s="1"/>
  <c r="F20" i="33"/>
  <c r="I20" i="33" s="1"/>
  <c r="J20" i="33" s="1"/>
  <c r="L29" i="10" s="1"/>
  <c r="F12" i="33"/>
  <c r="I12" i="33" s="1"/>
  <c r="J12" i="33" s="1"/>
  <c r="L21" i="10" s="1"/>
  <c r="F18" i="33"/>
  <c r="F10" i="33"/>
  <c r="I10" i="33" s="1"/>
  <c r="J10" i="33" s="1"/>
  <c r="H62" i="33"/>
  <c r="H8" i="33"/>
  <c r="F14" i="33"/>
  <c r="I14" i="33" s="1"/>
  <c r="J14" i="33" s="1"/>
  <c r="F82" i="33"/>
  <c r="F16" i="33"/>
  <c r="I16" i="33" s="1"/>
  <c r="J16" i="33" s="1"/>
  <c r="F43" i="33"/>
  <c r="F8" i="33"/>
  <c r="H23" i="33" l="1"/>
  <c r="I18" i="33"/>
  <c r="J18" i="33" s="1"/>
  <c r="L26" i="10" s="1"/>
  <c r="I13" i="33"/>
  <c r="J13" i="33" s="1"/>
  <c r="L22" i="10" s="1"/>
  <c r="L23" i="10"/>
  <c r="I8" i="33"/>
  <c r="F23" i="33"/>
  <c r="J8" i="33" l="1"/>
  <c r="I23" i="33"/>
  <c r="J23" i="33" l="1"/>
  <c r="L19" i="10"/>
  <c r="F26" i="24"/>
  <c r="D26" i="24"/>
  <c r="D69" i="24" l="1"/>
  <c r="E55" i="24" s="1"/>
  <c r="D48" i="24"/>
  <c r="E42" i="24" s="1"/>
  <c r="D90" i="24"/>
  <c r="E78" i="24" s="1"/>
  <c r="F48" i="24"/>
  <c r="G40" i="24" s="1"/>
  <c r="F69" i="24"/>
  <c r="G63" i="24" s="1"/>
  <c r="F90" i="24"/>
  <c r="G78" i="24" s="1"/>
  <c r="G55" i="24" l="1"/>
  <c r="G53" i="24"/>
  <c r="G87" i="24"/>
  <c r="G85" i="24"/>
  <c r="G80" i="24"/>
  <c r="G74" i="24"/>
  <c r="E76" i="24"/>
  <c r="E84" i="24"/>
  <c r="E61" i="24"/>
  <c r="G79" i="24"/>
  <c r="G75" i="24"/>
  <c r="G59" i="24"/>
  <c r="E79" i="24"/>
  <c r="E88" i="24"/>
  <c r="G56" i="24"/>
  <c r="G84" i="24"/>
  <c r="G89" i="24"/>
  <c r="E68" i="24"/>
  <c r="E56" i="24"/>
  <c r="G45" i="24"/>
  <c r="G36" i="24"/>
  <c r="E47" i="24"/>
  <c r="E35" i="24"/>
  <c r="E43" i="24"/>
  <c r="E39" i="24"/>
  <c r="G77" i="24"/>
  <c r="G39" i="24"/>
  <c r="G86" i="24"/>
  <c r="E54" i="24"/>
  <c r="E66" i="24"/>
  <c r="E62" i="24"/>
  <c r="E58" i="24"/>
  <c r="G44" i="24"/>
  <c r="E37" i="24"/>
  <c r="E65" i="24"/>
  <c r="E36" i="24"/>
  <c r="E75" i="24"/>
  <c r="E45" i="24"/>
  <c r="E80" i="24"/>
  <c r="E46" i="24"/>
  <c r="E44" i="24"/>
  <c r="G35" i="24"/>
  <c r="G68" i="24"/>
  <c r="G65" i="24"/>
  <c r="G83" i="24"/>
  <c r="G64" i="24"/>
  <c r="G41" i="24"/>
  <c r="G57" i="24"/>
  <c r="G81" i="24"/>
  <c r="E89" i="24"/>
  <c r="E85" i="24"/>
  <c r="E81" i="24"/>
  <c r="E77" i="24"/>
  <c r="G76" i="24"/>
  <c r="G46" i="24"/>
  <c r="G66" i="24"/>
  <c r="G58" i="24"/>
  <c r="G82" i="24"/>
  <c r="G67" i="24"/>
  <c r="G32" i="24"/>
  <c r="E86" i="24"/>
  <c r="E57" i="24"/>
  <c r="E87" i="24"/>
  <c r="E64" i="24"/>
  <c r="E41" i="24"/>
  <c r="E74" i="24"/>
  <c r="E40" i="24"/>
  <c r="E67" i="24"/>
  <c r="E38" i="24"/>
  <c r="G33" i="24"/>
  <c r="G34" i="24"/>
  <c r="G47" i="24"/>
  <c r="G60" i="24"/>
  <c r="G37" i="24"/>
  <c r="G42" i="24"/>
  <c r="G62" i="24"/>
  <c r="G88" i="24"/>
  <c r="G61" i="24"/>
  <c r="G18" i="24" s="1"/>
  <c r="G38" i="24"/>
  <c r="G54" i="24"/>
  <c r="G43" i="24"/>
  <c r="E82" i="24"/>
  <c r="E53" i="24"/>
  <c r="E83" i="24"/>
  <c r="E60" i="24"/>
  <c r="E33" i="24"/>
  <c r="E63" i="24"/>
  <c r="E34" i="24"/>
  <c r="E12" i="24" s="1"/>
  <c r="E59" i="24"/>
  <c r="E32" i="24"/>
  <c r="G69" i="24" l="1"/>
  <c r="E20" i="24"/>
  <c r="G20" i="24"/>
  <c r="G90" i="24"/>
  <c r="G22" i="24"/>
  <c r="G16" i="24"/>
  <c r="G15" i="24"/>
  <c r="G11" i="24"/>
  <c r="E22" i="24"/>
  <c r="H22" i="24" s="1"/>
  <c r="I22" i="24" s="1"/>
  <c r="K32" i="10" s="1"/>
  <c r="E17" i="24"/>
  <c r="G14" i="24"/>
  <c r="E24" i="24"/>
  <c r="G23" i="24"/>
  <c r="G12" i="24"/>
  <c r="H12" i="24" s="1"/>
  <c r="I12" i="24" s="1"/>
  <c r="K21" i="10" s="1"/>
  <c r="E18" i="24"/>
  <c r="G19" i="24"/>
  <c r="E11" i="24"/>
  <c r="E14" i="24"/>
  <c r="E21" i="24"/>
  <c r="G21" i="24"/>
  <c r="E16" i="24"/>
  <c r="E19" i="24"/>
  <c r="G13" i="24"/>
  <c r="G17" i="24"/>
  <c r="H17" i="24" s="1"/>
  <c r="I17" i="24" s="1"/>
  <c r="K27" i="10" s="1"/>
  <c r="E13" i="24"/>
  <c r="E69" i="24"/>
  <c r="H18" i="24"/>
  <c r="I18" i="24" s="1"/>
  <c r="K28" i="10" s="1"/>
  <c r="G24" i="24"/>
  <c r="H24" i="24" s="1"/>
  <c r="I24" i="24" s="1"/>
  <c r="K37" i="10" s="1"/>
  <c r="E48" i="24"/>
  <c r="E10" i="24"/>
  <c r="E90" i="24"/>
  <c r="G25" i="24"/>
  <c r="G48" i="24"/>
  <c r="G10" i="24"/>
  <c r="E23" i="24"/>
  <c r="E15" i="24"/>
  <c r="E25" i="24"/>
  <c r="H15" i="24" l="1"/>
  <c r="I15" i="24" s="1"/>
  <c r="K25" i="10" s="1"/>
  <c r="H16" i="24"/>
  <c r="I16" i="24" s="1"/>
  <c r="K26" i="10" s="1"/>
  <c r="G26" i="24"/>
  <c r="H20" i="24"/>
  <c r="I20" i="24" s="1"/>
  <c r="K30" i="10" s="1"/>
  <c r="H11" i="24"/>
  <c r="I11" i="24" s="1"/>
  <c r="K20" i="10" s="1"/>
  <c r="H19" i="24"/>
  <c r="I19" i="24" s="1"/>
  <c r="K29" i="10" s="1"/>
  <c r="H14" i="24"/>
  <c r="I14" i="24" s="1"/>
  <c r="K23" i="10" s="1"/>
  <c r="H25" i="24"/>
  <c r="I25" i="24" s="1"/>
  <c r="K38" i="10" s="1"/>
  <c r="H23" i="24"/>
  <c r="I23" i="24" s="1"/>
  <c r="K35" i="10" s="1"/>
  <c r="H21" i="24"/>
  <c r="I21" i="24" s="1"/>
  <c r="K31" i="10" s="1"/>
  <c r="H13" i="24"/>
  <c r="I13" i="24" s="1"/>
  <c r="K22" i="10" s="1"/>
  <c r="E26" i="24"/>
  <c r="H10" i="24"/>
  <c r="H26" i="24" l="1"/>
  <c r="I10" i="24"/>
  <c r="I26" i="24" l="1"/>
  <c r="K19" i="10"/>
  <c r="M17" i="20"/>
  <c r="K17" i="20"/>
  <c r="H17" i="20"/>
  <c r="G17" i="20" s="1"/>
  <c r="E17" i="20"/>
  <c r="F14" i="20" s="1"/>
  <c r="I16" i="20"/>
  <c r="I15" i="20"/>
  <c r="F15" i="20"/>
  <c r="I14" i="20"/>
  <c r="I13" i="20"/>
  <c r="F13" i="20"/>
  <c r="I12" i="20"/>
  <c r="I11" i="20"/>
  <c r="F11" i="20"/>
  <c r="I10" i="20"/>
  <c r="I9" i="20"/>
  <c r="F9" i="20"/>
  <c r="I8" i="20"/>
  <c r="O5" i="20"/>
  <c r="K32" i="20" l="1"/>
  <c r="L27" i="20" s="1"/>
  <c r="M32" i="20"/>
  <c r="N30" i="20" s="1"/>
  <c r="I17" i="20"/>
  <c r="J12" i="20" s="1"/>
  <c r="K45" i="20"/>
  <c r="L40" i="20" s="1"/>
  <c r="K58" i="20"/>
  <c r="L52" i="20" s="1"/>
  <c r="F8" i="20"/>
  <c r="F12" i="20"/>
  <c r="F16" i="20"/>
  <c r="M58" i="20"/>
  <c r="N50" i="20" s="1"/>
  <c r="M45" i="20"/>
  <c r="N39" i="20" s="1"/>
  <c r="F10" i="20"/>
  <c r="N37" i="20" l="1"/>
  <c r="N23" i="20"/>
  <c r="L26" i="20"/>
  <c r="L28" i="20"/>
  <c r="N55" i="20"/>
  <c r="L31" i="20"/>
  <c r="N57" i="20"/>
  <c r="N43" i="20"/>
  <c r="N40" i="20"/>
  <c r="N36" i="20"/>
  <c r="N44" i="20"/>
  <c r="L49" i="20"/>
  <c r="N42" i="20"/>
  <c r="N53" i="20"/>
  <c r="N31" i="20"/>
  <c r="N56" i="20"/>
  <c r="N15" i="20" s="1"/>
  <c r="N28" i="20"/>
  <c r="L57" i="20"/>
  <c r="L25" i="20"/>
  <c r="L56" i="20"/>
  <c r="N49" i="20"/>
  <c r="N25" i="20"/>
  <c r="N54" i="20"/>
  <c r="N26" i="20"/>
  <c r="L55" i="20"/>
  <c r="L23" i="20"/>
  <c r="L50" i="20"/>
  <c r="L37" i="20"/>
  <c r="L38" i="20"/>
  <c r="J13" i="20"/>
  <c r="J9" i="20"/>
  <c r="J15" i="20"/>
  <c r="J11" i="20"/>
  <c r="L43" i="20"/>
  <c r="L44" i="20"/>
  <c r="F17" i="20"/>
  <c r="N41" i="20"/>
  <c r="N29" i="20"/>
  <c r="N38" i="20"/>
  <c r="J16" i="20"/>
  <c r="L53" i="20"/>
  <c r="L12" i="20" s="1"/>
  <c r="L41" i="20"/>
  <c r="L29" i="20"/>
  <c r="N24" i="20"/>
  <c r="N9" i="20" s="1"/>
  <c r="L54" i="20"/>
  <c r="L42" i="20"/>
  <c r="L24" i="20"/>
  <c r="N8" i="20"/>
  <c r="L36" i="20"/>
  <c r="N51" i="20"/>
  <c r="N27" i="20"/>
  <c r="J10" i="20"/>
  <c r="N52" i="20"/>
  <c r="L30" i="20"/>
  <c r="J8" i="20"/>
  <c r="L51" i="20"/>
  <c r="L39" i="20"/>
  <c r="L11" i="20" s="1"/>
  <c r="J14" i="20"/>
  <c r="N16" i="20" l="1"/>
  <c r="N10" i="20"/>
  <c r="N13" i="20"/>
  <c r="L15" i="20"/>
  <c r="O15" i="20" s="1"/>
  <c r="P15" i="20" s="1"/>
  <c r="J30" i="10" s="1"/>
  <c r="N58" i="20"/>
  <c r="L32" i="20"/>
  <c r="L58" i="20"/>
  <c r="L16" i="20"/>
  <c r="O16" i="20" s="1"/>
  <c r="P16" i="20" s="1"/>
  <c r="J31" i="10" s="1"/>
  <c r="L8" i="20"/>
  <c r="N12" i="20"/>
  <c r="L13" i="20"/>
  <c r="O13" i="20" s="1"/>
  <c r="P13" i="20" s="1"/>
  <c r="J25" i="10" s="1"/>
  <c r="N14" i="20"/>
  <c r="L10" i="20"/>
  <c r="O12" i="20"/>
  <c r="P12" i="20" s="1"/>
  <c r="J23" i="10" s="1"/>
  <c r="N11" i="20"/>
  <c r="O11" i="20" s="1"/>
  <c r="P11" i="20" s="1"/>
  <c r="J22" i="10" s="1"/>
  <c r="N32" i="20"/>
  <c r="J17" i="20"/>
  <c r="N45" i="20"/>
  <c r="L45" i="20"/>
  <c r="L9" i="20"/>
  <c r="O9" i="20" s="1"/>
  <c r="P9" i="20" s="1"/>
  <c r="J20" i="10" s="1"/>
  <c r="L14" i="20"/>
  <c r="O8" i="20"/>
  <c r="N17" i="20" l="1"/>
  <c r="O10" i="20"/>
  <c r="P10" i="20" s="1"/>
  <c r="J21" i="10" s="1"/>
  <c r="O14" i="20"/>
  <c r="P14" i="20" s="1"/>
  <c r="J26" i="10" s="1"/>
  <c r="L17" i="20"/>
  <c r="P8" i="20"/>
  <c r="O17" i="20" l="1"/>
  <c r="P17" i="20"/>
  <c r="J19" i="10"/>
  <c r="S39" i="18"/>
  <c r="T38" i="18" s="1"/>
  <c r="Q39" i="18"/>
  <c r="R35" i="18" s="1"/>
  <c r="T36" i="18"/>
  <c r="T35" i="18"/>
  <c r="T34" i="18"/>
  <c r="S32" i="18"/>
  <c r="T31" i="18" s="1"/>
  <c r="Q32" i="18"/>
  <c r="R31" i="18" s="1"/>
  <c r="F32" i="18"/>
  <c r="E32" i="18"/>
  <c r="G31" i="18"/>
  <c r="G30" i="18"/>
  <c r="G29" i="18"/>
  <c r="G28" i="18"/>
  <c r="G27" i="18"/>
  <c r="G32" i="18" s="1"/>
  <c r="H31" i="18" s="1"/>
  <c r="S25" i="18"/>
  <c r="T24" i="18" s="1"/>
  <c r="Q25" i="18"/>
  <c r="R23" i="18" s="1"/>
  <c r="F25" i="18"/>
  <c r="E25" i="18"/>
  <c r="G24" i="18"/>
  <c r="G23" i="18"/>
  <c r="R22" i="18"/>
  <c r="G22" i="18"/>
  <c r="G21" i="18"/>
  <c r="R20" i="18"/>
  <c r="G20" i="18"/>
  <c r="P18" i="18"/>
  <c r="M18" i="18"/>
  <c r="L18" i="18"/>
  <c r="K18" i="18"/>
  <c r="I18" i="18"/>
  <c r="J17" i="18" s="1"/>
  <c r="J10" i="18" s="1"/>
  <c r="F18" i="18"/>
  <c r="E18" i="18"/>
  <c r="C18" i="18"/>
  <c r="N17" i="18"/>
  <c r="N10" i="18" s="1"/>
  <c r="G17" i="18"/>
  <c r="D17" i="18"/>
  <c r="D10" i="18" s="1"/>
  <c r="N16" i="18"/>
  <c r="G16" i="18"/>
  <c r="D16" i="18"/>
  <c r="N15" i="18"/>
  <c r="N8" i="18" s="1"/>
  <c r="G15" i="18"/>
  <c r="D15" i="18"/>
  <c r="N14" i="18"/>
  <c r="N7" i="18" s="1"/>
  <c r="G14" i="18"/>
  <c r="D14" i="18"/>
  <c r="N13" i="18"/>
  <c r="N6" i="18" s="1"/>
  <c r="G13" i="18"/>
  <c r="D13" i="18"/>
  <c r="D6" i="18" s="1"/>
  <c r="P10" i="18"/>
  <c r="L10" i="18"/>
  <c r="P9" i="18"/>
  <c r="N9" i="18"/>
  <c r="L9" i="18"/>
  <c r="D9" i="18"/>
  <c r="P8" i="18"/>
  <c r="L8" i="18"/>
  <c r="D8" i="18"/>
  <c r="P7" i="18"/>
  <c r="L7" i="18"/>
  <c r="D7" i="18"/>
  <c r="P6" i="18"/>
  <c r="L6" i="18"/>
  <c r="U3" i="18"/>
  <c r="S89" i="17"/>
  <c r="T86" i="17" s="1"/>
  <c r="Q89" i="17"/>
  <c r="R88" i="17" s="1"/>
  <c r="R87" i="17"/>
  <c r="T84" i="17"/>
  <c r="T81" i="17"/>
  <c r="R81" i="17"/>
  <c r="R79" i="17"/>
  <c r="T76" i="17"/>
  <c r="R75" i="17"/>
  <c r="S72" i="17"/>
  <c r="T71" i="17" s="1"/>
  <c r="Q72" i="17"/>
  <c r="R71" i="17" s="1"/>
  <c r="F72" i="17"/>
  <c r="E72" i="17"/>
  <c r="G71" i="17"/>
  <c r="G70" i="17"/>
  <c r="G69" i="17"/>
  <c r="G68" i="17"/>
  <c r="G67" i="17"/>
  <c r="G66" i="17"/>
  <c r="G65" i="17"/>
  <c r="G64" i="17"/>
  <c r="G63" i="17"/>
  <c r="G62" i="17"/>
  <c r="G61" i="17"/>
  <c r="G60" i="17"/>
  <c r="G59" i="17"/>
  <c r="G58" i="17"/>
  <c r="G57" i="17"/>
  <c r="G72" i="17" s="1"/>
  <c r="H71" i="17" s="1"/>
  <c r="S55" i="17"/>
  <c r="T54" i="17" s="1"/>
  <c r="Q55" i="17"/>
  <c r="R52" i="17" s="1"/>
  <c r="F55" i="17"/>
  <c r="E55" i="17"/>
  <c r="G54" i="17"/>
  <c r="G53" i="17"/>
  <c r="G52" i="17"/>
  <c r="G51" i="17"/>
  <c r="R50" i="17"/>
  <c r="G50" i="17"/>
  <c r="G49" i="17"/>
  <c r="R48" i="17"/>
  <c r="G48" i="17"/>
  <c r="G47" i="17"/>
  <c r="R46" i="17"/>
  <c r="G46" i="17"/>
  <c r="G45" i="17"/>
  <c r="R44" i="17"/>
  <c r="G44" i="17"/>
  <c r="G43" i="17"/>
  <c r="R42" i="17"/>
  <c r="G42" i="17"/>
  <c r="G41" i="17"/>
  <c r="R40" i="17"/>
  <c r="G40" i="17"/>
  <c r="P38" i="17"/>
  <c r="O38" i="17"/>
  <c r="M38" i="17"/>
  <c r="N37" i="17" s="1"/>
  <c r="N20" i="17" s="1"/>
  <c r="L38" i="17"/>
  <c r="I38" i="17"/>
  <c r="F38" i="17"/>
  <c r="E38" i="17"/>
  <c r="C38" i="17"/>
  <c r="J37" i="17"/>
  <c r="G37" i="17"/>
  <c r="D37" i="17"/>
  <c r="D20" i="17" s="1"/>
  <c r="J36" i="17"/>
  <c r="G36" i="17"/>
  <c r="D36" i="17"/>
  <c r="J35" i="17"/>
  <c r="G35" i="17"/>
  <c r="D35" i="17"/>
  <c r="J34" i="17"/>
  <c r="J17" i="17" s="1"/>
  <c r="G34" i="17"/>
  <c r="D34" i="17"/>
  <c r="J33" i="17"/>
  <c r="G33" i="17"/>
  <c r="D33" i="17"/>
  <c r="D16" i="17" s="1"/>
  <c r="J32" i="17"/>
  <c r="G32" i="17"/>
  <c r="D32" i="17"/>
  <c r="J31" i="17"/>
  <c r="J14" i="17" s="1"/>
  <c r="G31" i="17"/>
  <c r="D31" i="17"/>
  <c r="J30" i="17"/>
  <c r="J13" i="17" s="1"/>
  <c r="G30" i="17"/>
  <c r="D30" i="17"/>
  <c r="J29" i="17"/>
  <c r="G29" i="17"/>
  <c r="D29" i="17"/>
  <c r="D12" i="17" s="1"/>
  <c r="J28" i="17"/>
  <c r="G28" i="17"/>
  <c r="D28" i="17"/>
  <c r="J27" i="17"/>
  <c r="G27" i="17"/>
  <c r="D27" i="17"/>
  <c r="J26" i="17"/>
  <c r="J9" i="17" s="1"/>
  <c r="G26" i="17"/>
  <c r="D26" i="17"/>
  <c r="J25" i="17"/>
  <c r="G25" i="17"/>
  <c r="D25" i="17"/>
  <c r="D8" i="17" s="1"/>
  <c r="J24" i="17"/>
  <c r="G24" i="17"/>
  <c r="D24" i="17"/>
  <c r="J23" i="17"/>
  <c r="J6" i="17" s="1"/>
  <c r="G23" i="17"/>
  <c r="D23" i="17"/>
  <c r="P20" i="17"/>
  <c r="L20" i="17"/>
  <c r="J20" i="17"/>
  <c r="P19" i="17"/>
  <c r="L19" i="17"/>
  <c r="J19" i="17"/>
  <c r="D19" i="17"/>
  <c r="P18" i="17"/>
  <c r="L18" i="17"/>
  <c r="J18" i="17"/>
  <c r="D18" i="17"/>
  <c r="P17" i="17"/>
  <c r="L17" i="17"/>
  <c r="D17" i="17"/>
  <c r="P16" i="17"/>
  <c r="L16" i="17"/>
  <c r="J16" i="17"/>
  <c r="P15" i="17"/>
  <c r="L15" i="17"/>
  <c r="J15" i="17"/>
  <c r="D15" i="17"/>
  <c r="P14" i="17"/>
  <c r="L14" i="17"/>
  <c r="D14" i="17"/>
  <c r="P13" i="17"/>
  <c r="L13" i="17"/>
  <c r="D13" i="17"/>
  <c r="P12" i="17"/>
  <c r="L12" i="17"/>
  <c r="J12" i="17"/>
  <c r="P11" i="17"/>
  <c r="L11" i="17"/>
  <c r="J11" i="17"/>
  <c r="D11" i="17"/>
  <c r="P10" i="17"/>
  <c r="L10" i="17"/>
  <c r="J10" i="17"/>
  <c r="D10" i="17"/>
  <c r="P9" i="17"/>
  <c r="L9" i="17"/>
  <c r="D9" i="17"/>
  <c r="P8" i="17"/>
  <c r="L8" i="17"/>
  <c r="J8" i="17"/>
  <c r="P7" i="17"/>
  <c r="L7" i="17"/>
  <c r="J7" i="17"/>
  <c r="D7" i="17"/>
  <c r="P6" i="17"/>
  <c r="L6" i="17"/>
  <c r="D6" i="17"/>
  <c r="U3" i="17"/>
  <c r="E20" i="16"/>
  <c r="F19" i="16" s="1"/>
  <c r="E16" i="16"/>
  <c r="F15" i="16" s="1"/>
  <c r="F14" i="16"/>
  <c r="F16" i="16" s="1"/>
  <c r="G12" i="16"/>
  <c r="H11" i="16" s="1"/>
  <c r="H7" i="16" s="1"/>
  <c r="E12" i="16"/>
  <c r="F10" i="16" s="1"/>
  <c r="C12" i="16"/>
  <c r="D11" i="16"/>
  <c r="D7" i="16" s="1"/>
  <c r="H10" i="16"/>
  <c r="D10" i="16"/>
  <c r="H6" i="16"/>
  <c r="I3" i="16"/>
  <c r="O34" i="15"/>
  <c r="P33" i="15" s="1"/>
  <c r="O28" i="15"/>
  <c r="P27" i="15" s="1"/>
  <c r="D28" i="15"/>
  <c r="C28" i="15"/>
  <c r="E27" i="15"/>
  <c r="P26" i="15"/>
  <c r="E26" i="15"/>
  <c r="E25" i="15"/>
  <c r="E24" i="15"/>
  <c r="O22" i="15"/>
  <c r="P21" i="15" s="1"/>
  <c r="P9" i="15" s="1"/>
  <c r="D22" i="15"/>
  <c r="C22" i="15"/>
  <c r="E21" i="15"/>
  <c r="P20" i="15"/>
  <c r="E20" i="15"/>
  <c r="E19" i="15"/>
  <c r="E18" i="15"/>
  <c r="N16" i="15"/>
  <c r="K16" i="15"/>
  <c r="L14" i="15" s="1"/>
  <c r="L8" i="15" s="1"/>
  <c r="J16" i="15"/>
  <c r="G16" i="15"/>
  <c r="H15" i="15" s="1"/>
  <c r="H9" i="15" s="1"/>
  <c r="D16" i="15"/>
  <c r="C16" i="15"/>
  <c r="L15" i="15"/>
  <c r="L9" i="15" s="1"/>
  <c r="E15" i="15"/>
  <c r="E14" i="15"/>
  <c r="L13" i="15"/>
  <c r="L7" i="15" s="1"/>
  <c r="E13" i="15"/>
  <c r="L12" i="15"/>
  <c r="E12" i="15"/>
  <c r="N9" i="15"/>
  <c r="J9" i="15"/>
  <c r="N8" i="15"/>
  <c r="J8" i="15"/>
  <c r="N7" i="15"/>
  <c r="J7" i="15"/>
  <c r="N6" i="15"/>
  <c r="L6" i="15"/>
  <c r="J6" i="15"/>
  <c r="Q3" i="15"/>
  <c r="F18" i="16" l="1"/>
  <c r="F20" i="16" s="1"/>
  <c r="D38" i="17"/>
  <c r="P11" i="18"/>
  <c r="E16" i="15"/>
  <c r="G38" i="17"/>
  <c r="G55" i="17"/>
  <c r="H54" i="17" s="1"/>
  <c r="R58" i="17"/>
  <c r="R60" i="17"/>
  <c r="R62" i="17"/>
  <c r="R64" i="17"/>
  <c r="R66" i="17"/>
  <c r="R68" i="17"/>
  <c r="R70" i="17"/>
  <c r="J13" i="18"/>
  <c r="J6" i="18" s="1"/>
  <c r="J14" i="18"/>
  <c r="J7" i="18" s="1"/>
  <c r="J15" i="18"/>
  <c r="J8" i="18" s="1"/>
  <c r="J16" i="18"/>
  <c r="J9" i="18" s="1"/>
  <c r="R28" i="18"/>
  <c r="R30" i="18"/>
  <c r="P18" i="15"/>
  <c r="P32" i="15"/>
  <c r="R57" i="17"/>
  <c r="R59" i="17"/>
  <c r="R61" i="17"/>
  <c r="R63" i="17"/>
  <c r="R65" i="17"/>
  <c r="R67" i="17"/>
  <c r="R69" i="17"/>
  <c r="G25" i="18"/>
  <c r="H24" i="18" s="1"/>
  <c r="R27" i="18"/>
  <c r="R29" i="18"/>
  <c r="T37" i="18"/>
  <c r="T39" i="18" s="1"/>
  <c r="L16" i="15"/>
  <c r="J10" i="15"/>
  <c r="P8" i="15"/>
  <c r="F11" i="16"/>
  <c r="L21" i="17"/>
  <c r="T74" i="17"/>
  <c r="R77" i="17"/>
  <c r="T79" i="17"/>
  <c r="T82" i="17"/>
  <c r="R85" i="17"/>
  <c r="T87" i="17"/>
  <c r="R54" i="17"/>
  <c r="R24" i="18"/>
  <c r="L10" i="15"/>
  <c r="E28" i="15"/>
  <c r="P30" i="15"/>
  <c r="D12" i="16"/>
  <c r="N23" i="17"/>
  <c r="N24" i="17"/>
  <c r="N7" i="17" s="1"/>
  <c r="N25" i="17"/>
  <c r="N8" i="17" s="1"/>
  <c r="N26" i="17"/>
  <c r="N9" i="17" s="1"/>
  <c r="N27" i="17"/>
  <c r="N10" i="17" s="1"/>
  <c r="N28" i="17"/>
  <c r="N11" i="17" s="1"/>
  <c r="N29" i="17"/>
  <c r="N12" i="17" s="1"/>
  <c r="N30" i="17"/>
  <c r="N13" i="17" s="1"/>
  <c r="N31" i="17"/>
  <c r="N14" i="17" s="1"/>
  <c r="N32" i="17"/>
  <c r="N15" i="17" s="1"/>
  <c r="N33" i="17"/>
  <c r="N16" i="17" s="1"/>
  <c r="N34" i="17"/>
  <c r="N17" i="17" s="1"/>
  <c r="N35" i="17"/>
  <c r="N18" i="17" s="1"/>
  <c r="N36" i="17"/>
  <c r="N19" i="17" s="1"/>
  <c r="R41" i="17"/>
  <c r="R7" i="17" s="1"/>
  <c r="R43" i="17"/>
  <c r="R9" i="17" s="1"/>
  <c r="R45" i="17"/>
  <c r="R11" i="17" s="1"/>
  <c r="R47" i="17"/>
  <c r="R13" i="17" s="1"/>
  <c r="R49" i="17"/>
  <c r="R51" i="17"/>
  <c r="R53" i="17"/>
  <c r="R19" i="17" s="1"/>
  <c r="T77" i="17"/>
  <c r="T80" i="17"/>
  <c r="R83" i="17"/>
  <c r="T85" i="17"/>
  <c r="T88" i="17"/>
  <c r="T20" i="17" s="1"/>
  <c r="J11" i="18"/>
  <c r="N11" i="18"/>
  <c r="R21" i="18"/>
  <c r="R7" i="18" s="1"/>
  <c r="E22" i="15"/>
  <c r="F18" i="15" s="1"/>
  <c r="N10" i="15"/>
  <c r="F13" i="15"/>
  <c r="F15" i="15"/>
  <c r="P19" i="15"/>
  <c r="P22" i="15" s="1"/>
  <c r="P31" i="15"/>
  <c r="H8" i="16"/>
  <c r="H12" i="16"/>
  <c r="P21" i="17"/>
  <c r="T75" i="17"/>
  <c r="T78" i="17"/>
  <c r="T83" i="17"/>
  <c r="L11" i="18"/>
  <c r="R8" i="18"/>
  <c r="T10" i="18"/>
  <c r="D11" i="18"/>
  <c r="G18" i="18"/>
  <c r="H15" i="18" s="1"/>
  <c r="T20" i="18"/>
  <c r="T21" i="18"/>
  <c r="T22" i="18"/>
  <c r="T23" i="18"/>
  <c r="T27" i="18"/>
  <c r="T32" i="18" s="1"/>
  <c r="T28" i="18"/>
  <c r="T29" i="18"/>
  <c r="T30" i="18"/>
  <c r="R37" i="18"/>
  <c r="R9" i="18" s="1"/>
  <c r="D18" i="18"/>
  <c r="R34" i="18"/>
  <c r="R36" i="18"/>
  <c r="R38" i="18"/>
  <c r="R10" i="18" s="1"/>
  <c r="N18" i="18"/>
  <c r="H20" i="18"/>
  <c r="H21" i="18"/>
  <c r="H22" i="18"/>
  <c r="H23" i="18"/>
  <c r="H27" i="18"/>
  <c r="H28" i="18"/>
  <c r="H29" i="18"/>
  <c r="H30" i="18"/>
  <c r="D21" i="17"/>
  <c r="J21" i="17"/>
  <c r="H34" i="17"/>
  <c r="H30" i="17"/>
  <c r="H26" i="17"/>
  <c r="H31" i="17"/>
  <c r="H35" i="17"/>
  <c r="H27" i="17"/>
  <c r="H23" i="17"/>
  <c r="H24" i="17"/>
  <c r="H25" i="17"/>
  <c r="H28" i="17"/>
  <c r="H29" i="17"/>
  <c r="H32" i="17"/>
  <c r="H33" i="17"/>
  <c r="H36" i="17"/>
  <c r="H37" i="17"/>
  <c r="H20" i="17" s="1"/>
  <c r="R20" i="17"/>
  <c r="J38" i="17"/>
  <c r="T40" i="17"/>
  <c r="T41" i="17"/>
  <c r="T42" i="17"/>
  <c r="T43" i="17"/>
  <c r="T44" i="17"/>
  <c r="T45" i="17"/>
  <c r="T46" i="17"/>
  <c r="T47" i="17"/>
  <c r="T48" i="17"/>
  <c r="T49" i="17"/>
  <c r="T50" i="17"/>
  <c r="T51" i="17"/>
  <c r="T52" i="17"/>
  <c r="T53" i="17"/>
  <c r="T57" i="17"/>
  <c r="T58" i="17"/>
  <c r="T59" i="17"/>
  <c r="T60" i="17"/>
  <c r="T61" i="17"/>
  <c r="T62" i="17"/>
  <c r="T63" i="17"/>
  <c r="T64" i="17"/>
  <c r="T65" i="17"/>
  <c r="T66" i="17"/>
  <c r="T67" i="17"/>
  <c r="T68" i="17"/>
  <c r="T69" i="17"/>
  <c r="T70" i="17"/>
  <c r="R74" i="17"/>
  <c r="R6" i="17" s="1"/>
  <c r="R76" i="17"/>
  <c r="R8" i="17" s="1"/>
  <c r="R78" i="17"/>
  <c r="R10" i="17" s="1"/>
  <c r="R80" i="17"/>
  <c r="R12" i="17" s="1"/>
  <c r="R82" i="17"/>
  <c r="R14" i="17" s="1"/>
  <c r="R84" i="17"/>
  <c r="R16" i="17" s="1"/>
  <c r="R86" i="17"/>
  <c r="R18" i="17" s="1"/>
  <c r="H40" i="17"/>
  <c r="H41" i="17"/>
  <c r="H42" i="17"/>
  <c r="H43" i="17"/>
  <c r="H44" i="17"/>
  <c r="H45" i="17"/>
  <c r="H46" i="17"/>
  <c r="H47" i="17"/>
  <c r="H48" i="17"/>
  <c r="H49" i="17"/>
  <c r="H50" i="17"/>
  <c r="H51" i="17"/>
  <c r="H52" i="17"/>
  <c r="H53" i="17"/>
  <c r="H57" i="17"/>
  <c r="H58" i="17"/>
  <c r="H59" i="17"/>
  <c r="H60" i="17"/>
  <c r="H61" i="17"/>
  <c r="H62" i="17"/>
  <c r="H63" i="17"/>
  <c r="H64" i="17"/>
  <c r="H65" i="17"/>
  <c r="H66" i="17"/>
  <c r="H67" i="17"/>
  <c r="H68" i="17"/>
  <c r="H69" i="17"/>
  <c r="H70" i="17"/>
  <c r="F6" i="16"/>
  <c r="F12" i="16"/>
  <c r="F7" i="16"/>
  <c r="I7" i="16" s="1" a="1"/>
  <c r="I7" i="16" s="1"/>
  <c r="J7" i="16" s="1"/>
  <c r="G44" i="10" s="1"/>
  <c r="D6" i="16"/>
  <c r="F27" i="15"/>
  <c r="F25" i="15"/>
  <c r="F26" i="15"/>
  <c r="F19" i="15"/>
  <c r="F7" i="15" s="1"/>
  <c r="F21" i="15"/>
  <c r="F9" i="15" s="1"/>
  <c r="Q9" i="15" s="1" a="1"/>
  <c r="Q9" i="15" s="1"/>
  <c r="R9" i="15" s="1"/>
  <c r="G42" i="10" s="1"/>
  <c r="F14" i="15"/>
  <c r="F12" i="15"/>
  <c r="F20" i="15"/>
  <c r="F24" i="15"/>
  <c r="F28" i="15" s="1"/>
  <c r="P25" i="15"/>
  <c r="P7" i="15" s="1"/>
  <c r="H12" i="15"/>
  <c r="H13" i="15"/>
  <c r="H7" i="15" s="1"/>
  <c r="H14" i="15"/>
  <c r="H8" i="15" s="1"/>
  <c r="P24" i="15"/>
  <c r="P28" i="15" s="1"/>
  <c r="J18" i="18" l="1"/>
  <c r="R32" i="18"/>
  <c r="R72" i="17"/>
  <c r="Q7" i="15" a="1"/>
  <c r="Q7" i="15" s="1"/>
  <c r="R7" i="15" s="1"/>
  <c r="G40" i="10" s="1"/>
  <c r="T18" i="17"/>
  <c r="T14" i="17"/>
  <c r="T10" i="17"/>
  <c r="N38" i="17"/>
  <c r="N6" i="17"/>
  <c r="T89" i="17"/>
  <c r="R55" i="17"/>
  <c r="R17" i="17"/>
  <c r="U20" i="17" a="1"/>
  <c r="U20" i="17" s="1"/>
  <c r="V20" i="17" s="1"/>
  <c r="G38" i="10" s="1"/>
  <c r="R15" i="17"/>
  <c r="N21" i="17"/>
  <c r="P34" i="15"/>
  <c r="R25" i="18"/>
  <c r="T19" i="17"/>
  <c r="T15" i="17"/>
  <c r="T11" i="17"/>
  <c r="T7" i="17"/>
  <c r="H19" i="17"/>
  <c r="U19" i="17" s="1" a="1"/>
  <c r="U19" i="17" s="1"/>
  <c r="V19" i="17" s="1"/>
  <c r="G37" i="10" s="1"/>
  <c r="H11" i="17"/>
  <c r="H13" i="17"/>
  <c r="H17" i="18"/>
  <c r="H10" i="18" s="1"/>
  <c r="U10" i="18" s="1" a="1"/>
  <c r="U10" i="18" s="1"/>
  <c r="V10" i="18" s="1"/>
  <c r="G33" i="10" s="1"/>
  <c r="H32" i="18"/>
  <c r="H25" i="18"/>
  <c r="R39" i="18"/>
  <c r="T8" i="18"/>
  <c r="R6" i="18"/>
  <c r="R11" i="18" s="1"/>
  <c r="H16" i="18"/>
  <c r="H9" i="18" s="1"/>
  <c r="T6" i="18"/>
  <c r="T25" i="18"/>
  <c r="T9" i="18"/>
  <c r="H8" i="18"/>
  <c r="H14" i="18"/>
  <c r="H7" i="18" s="1"/>
  <c r="T7" i="18"/>
  <c r="H13" i="18"/>
  <c r="R21" i="17"/>
  <c r="H72" i="17"/>
  <c r="T6" i="17"/>
  <c r="T55" i="17"/>
  <c r="H8" i="17"/>
  <c r="H17" i="17"/>
  <c r="H55" i="17"/>
  <c r="T17" i="17"/>
  <c r="T13" i="17"/>
  <c r="U13" i="17" s="1" a="1"/>
  <c r="U13" i="17" s="1"/>
  <c r="V13" i="17" s="1"/>
  <c r="G30" i="10" s="1"/>
  <c r="T9" i="17"/>
  <c r="H15" i="17"/>
  <c r="H7" i="17"/>
  <c r="U7" i="17" s="1" a="1"/>
  <c r="U7" i="17" s="1"/>
  <c r="V7" i="17" s="1"/>
  <c r="G21" i="10" s="1"/>
  <c r="H14" i="17"/>
  <c r="U14" i="17" s="1" a="1"/>
  <c r="U14" i="17" s="1"/>
  <c r="V14" i="17" s="1"/>
  <c r="G31" i="10" s="1"/>
  <c r="H10" i="17"/>
  <c r="R89" i="17"/>
  <c r="H16" i="17"/>
  <c r="H18" i="17"/>
  <c r="U18" i="17" s="1" a="1"/>
  <c r="U18" i="17" s="1"/>
  <c r="V18" i="17" s="1"/>
  <c r="G36" i="10" s="1"/>
  <c r="T72" i="17"/>
  <c r="T16" i="17"/>
  <c r="T12" i="17"/>
  <c r="T8" i="17"/>
  <c r="H12" i="17"/>
  <c r="H6" i="17"/>
  <c r="H38" i="17"/>
  <c r="H9" i="17"/>
  <c r="D8" i="16"/>
  <c r="I6" i="16" a="1"/>
  <c r="I6" i="16" s="1"/>
  <c r="F8" i="16"/>
  <c r="P6" i="15"/>
  <c r="P10" i="15" s="1"/>
  <c r="F16" i="15"/>
  <c r="F6" i="15"/>
  <c r="F22" i="15"/>
  <c r="H16" i="15"/>
  <c r="H6" i="15"/>
  <c r="H10" i="15" s="1"/>
  <c r="F8" i="15"/>
  <c r="Q8" i="15" s="1" a="1"/>
  <c r="Q8" i="15" s="1"/>
  <c r="R8" i="15" s="1"/>
  <c r="G41" i="10" s="1"/>
  <c r="U8" i="18" l="1" a="1"/>
  <c r="U8" i="18" s="1"/>
  <c r="V8" i="18" s="1"/>
  <c r="G23" i="10" s="1"/>
  <c r="U9" i="18" a="1"/>
  <c r="U9" i="18" s="1"/>
  <c r="V9" i="18" s="1"/>
  <c r="G28" i="10" s="1"/>
  <c r="U11" i="17" a="1"/>
  <c r="U11" i="17" s="1"/>
  <c r="V11" i="17" s="1"/>
  <c r="G27" i="10" s="1"/>
  <c r="U15" i="17" a="1"/>
  <c r="U15" i="17" s="1"/>
  <c r="V15" i="17" s="1"/>
  <c r="G32" i="10" s="1"/>
  <c r="U12" i="17" a="1"/>
  <c r="U12" i="17" s="1"/>
  <c r="V12" i="17" s="1"/>
  <c r="G29" i="10" s="1"/>
  <c r="U10" i="17" a="1"/>
  <c r="U10" i="17" s="1"/>
  <c r="V10" i="17" s="1"/>
  <c r="G26" i="10" s="1"/>
  <c r="U17" i="17" a="1"/>
  <c r="U17" i="17" s="1"/>
  <c r="V17" i="17" s="1"/>
  <c r="G35" i="10" s="1"/>
  <c r="U7" i="18" a="1"/>
  <c r="U7" i="18" s="1"/>
  <c r="V7" i="18" s="1"/>
  <c r="G22" i="10" s="1"/>
  <c r="T11" i="18"/>
  <c r="H18" i="18"/>
  <c r="H6" i="18"/>
  <c r="H21" i="17"/>
  <c r="U6" i="17" a="1"/>
  <c r="U6" i="17" s="1"/>
  <c r="U8" i="17" a="1"/>
  <c r="U8" i="17" s="1"/>
  <c r="V8" i="17" s="1"/>
  <c r="G24" i="10" s="1"/>
  <c r="T21" i="17"/>
  <c r="U9" i="17" a="1"/>
  <c r="U9" i="17" s="1"/>
  <c r="V9" i="17" s="1"/>
  <c r="G25" i="10" s="1"/>
  <c r="U16" i="17" a="1"/>
  <c r="U16" i="17" s="1"/>
  <c r="V16" i="17" s="1"/>
  <c r="G34" i="10" s="1"/>
  <c r="J6" i="16"/>
  <c r="I8" i="16"/>
  <c r="Q6" i="15" a="1"/>
  <c r="Q6" i="15" s="1"/>
  <c r="F10" i="15"/>
  <c r="J8" i="16" l="1"/>
  <c r="G43" i="10"/>
  <c r="H11" i="18"/>
  <c r="U6" i="18" a="1"/>
  <c r="U6" i="18" s="1"/>
  <c r="V6" i="17"/>
  <c r="U21" i="17"/>
  <c r="Q10" i="15"/>
  <c r="R6" i="15"/>
  <c r="R10" i="15" l="1"/>
  <c r="G39" i="10"/>
  <c r="V21" i="17"/>
  <c r="G20" i="10"/>
  <c r="U11" i="18"/>
  <c r="V6" i="18"/>
  <c r="V11" i="18" l="1"/>
  <c r="O66" i="31"/>
  <c r="I62" i="31" l="1"/>
  <c r="L66" i="31"/>
  <c r="H41" i="31" l="1"/>
  <c r="I41" i="31"/>
  <c r="L41" i="31" l="1"/>
  <c r="D33" i="19" l="1"/>
  <c r="C33" i="19"/>
  <c r="E13" i="34" l="1"/>
  <c r="E12" i="34"/>
  <c r="E11" i="34"/>
  <c r="E10" i="34"/>
  <c r="E9" i="34"/>
  <c r="E8" i="34"/>
  <c r="E7" i="34"/>
  <c r="E6" i="34"/>
  <c r="E5" i="21" l="1"/>
  <c r="D33" i="26" l="1"/>
  <c r="C12" i="36"/>
  <c r="C8" i="10" l="1"/>
  <c r="C9" i="27"/>
  <c r="E5" i="22"/>
  <c r="C3" i="36" l="1"/>
  <c r="C5" i="36" s="1"/>
  <c r="D10" i="36" s="1"/>
  <c r="E10" i="36" s="1"/>
  <c r="C5" i="10"/>
  <c r="D8" i="36" l="1"/>
  <c r="D9" i="36"/>
  <c r="E9" i="36" s="1"/>
  <c r="D11" i="36"/>
  <c r="E11" i="36" s="1"/>
  <c r="E8" i="36"/>
  <c r="D12" i="36" l="1"/>
  <c r="E12" i="36"/>
  <c r="F10" i="36" l="1"/>
  <c r="F11" i="36"/>
  <c r="F9" i="36"/>
  <c r="F8" i="36"/>
  <c r="F12" i="36" l="1"/>
  <c r="D37" i="22" l="1"/>
  <c r="C37" i="22"/>
  <c r="E20" i="22" l="1"/>
  <c r="E23" i="22"/>
  <c r="E11" i="22"/>
  <c r="E33" i="22"/>
  <c r="E29" i="22"/>
  <c r="E25" i="22"/>
  <c r="E21" i="22"/>
  <c r="E17" i="22"/>
  <c r="E13" i="22"/>
  <c r="E12" i="22"/>
  <c r="E31" i="22"/>
  <c r="E36" i="22"/>
  <c r="E32" i="22"/>
  <c r="E28" i="22"/>
  <c r="E24" i="22"/>
  <c r="E16" i="22"/>
  <c r="E35" i="22"/>
  <c r="E27" i="22"/>
  <c r="E19" i="22"/>
  <c r="E15" i="22"/>
  <c r="E34" i="22"/>
  <c r="E30" i="22"/>
  <c r="E26" i="22"/>
  <c r="E22" i="22"/>
  <c r="E18" i="22"/>
  <c r="E14" i="22"/>
  <c r="E6" i="22"/>
  <c r="D37" i="21"/>
  <c r="E6" i="21" s="1"/>
  <c r="C37" i="21"/>
  <c r="E28" i="21" l="1"/>
  <c r="E27" i="21"/>
  <c r="E12" i="21"/>
  <c r="E36" i="21"/>
  <c r="E32" i="21"/>
  <c r="E24" i="21"/>
  <c r="E20" i="21"/>
  <c r="E16" i="21"/>
  <c r="E31" i="21"/>
  <c r="E19" i="21"/>
  <c r="E34" i="21"/>
  <c r="E22" i="21"/>
  <c r="E14" i="21"/>
  <c r="E29" i="21"/>
  <c r="E21" i="21"/>
  <c r="E13" i="21"/>
  <c r="E35" i="21"/>
  <c r="E23" i="21"/>
  <c r="E15" i="21"/>
  <c r="E11" i="21"/>
  <c r="E30" i="21"/>
  <c r="E26" i="21"/>
  <c r="E18" i="21"/>
  <c r="E33" i="21"/>
  <c r="E25" i="21"/>
  <c r="E17" i="21"/>
  <c r="E37" i="22"/>
  <c r="F32" i="19"/>
  <c r="G32" i="19" s="1"/>
  <c r="F31" i="19"/>
  <c r="G31" i="19" s="1"/>
  <c r="F30" i="19"/>
  <c r="G30" i="19" s="1"/>
  <c r="F29" i="19"/>
  <c r="G29" i="19" s="1"/>
  <c r="F28" i="19"/>
  <c r="G28" i="19" s="1"/>
  <c r="F27" i="19"/>
  <c r="G27" i="19" s="1"/>
  <c r="F26" i="19"/>
  <c r="G26" i="19" s="1"/>
  <c r="F25" i="19"/>
  <c r="G25" i="19" s="1"/>
  <c r="F24" i="19"/>
  <c r="G24" i="19" s="1"/>
  <c r="F23" i="19"/>
  <c r="G23" i="19" s="1"/>
  <c r="F22" i="19"/>
  <c r="G22" i="19" s="1"/>
  <c r="F21" i="19"/>
  <c r="G21" i="19" s="1"/>
  <c r="F20" i="19"/>
  <c r="G20" i="19" s="1"/>
  <c r="F19" i="19"/>
  <c r="G19" i="19" s="1"/>
  <c r="F18" i="19"/>
  <c r="G18" i="19" s="1"/>
  <c r="F17" i="19"/>
  <c r="G17" i="19" s="1"/>
  <c r="F16" i="19"/>
  <c r="G16" i="19" s="1"/>
  <c r="F15" i="19"/>
  <c r="G15" i="19" s="1"/>
  <c r="F14" i="19"/>
  <c r="G14" i="19" s="1"/>
  <c r="F13" i="19"/>
  <c r="G13" i="19" s="1"/>
  <c r="F12" i="19"/>
  <c r="G12" i="19" s="1"/>
  <c r="F11" i="19"/>
  <c r="G11" i="19" s="1"/>
  <c r="F10" i="19"/>
  <c r="G10" i="19" s="1"/>
  <c r="F9" i="19"/>
  <c r="G9" i="19" s="1"/>
  <c r="F8" i="19"/>
  <c r="G8" i="19" s="1"/>
  <c r="E37" i="21" l="1"/>
  <c r="F7" i="19"/>
  <c r="E33" i="19"/>
  <c r="I23" i="10"/>
  <c r="I22" i="10"/>
  <c r="I25" i="10"/>
  <c r="D14" i="34"/>
  <c r="G7" i="19" l="1"/>
  <c r="F33" i="19"/>
  <c r="E14" i="34"/>
  <c r="I19" i="10"/>
  <c r="Q53" i="31" l="1"/>
  <c r="N54" i="31"/>
  <c r="L45" i="10" l="1"/>
  <c r="E29" i="27" l="1"/>
  <c r="G29" i="27"/>
  <c r="H29" i="27"/>
  <c r="I14" i="27"/>
  <c r="J14" i="27" s="1"/>
  <c r="I17" i="27"/>
  <c r="J17" i="27" s="1"/>
  <c r="I15" i="27"/>
  <c r="J15" i="27" s="1"/>
  <c r="I16" i="27"/>
  <c r="J16" i="27" s="1"/>
  <c r="I18" i="27"/>
  <c r="J18" i="27" s="1"/>
  <c r="I19" i="27"/>
  <c r="J19" i="27" s="1"/>
  <c r="I20" i="27"/>
  <c r="J20" i="27" s="1"/>
  <c r="I21" i="27"/>
  <c r="J21" i="27" s="1"/>
  <c r="I22" i="27"/>
  <c r="J22" i="27" s="1"/>
  <c r="I23" i="27"/>
  <c r="J23" i="27" s="1"/>
  <c r="I24" i="27"/>
  <c r="J24" i="27" s="1"/>
  <c r="I25" i="27"/>
  <c r="J25" i="27" s="1"/>
  <c r="I26" i="27"/>
  <c r="J26" i="27" s="1"/>
  <c r="I27" i="27"/>
  <c r="J27" i="27" s="1"/>
  <c r="I28" i="27"/>
  <c r="J28" i="27" s="1"/>
  <c r="F29" i="27"/>
  <c r="I13" i="27"/>
  <c r="J13" i="27" s="1"/>
  <c r="I29" i="27" l="1"/>
  <c r="J29" i="27"/>
  <c r="C33" i="26" l="1"/>
  <c r="C43" i="13"/>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G37" i="19"/>
  <c r="N45" i="10"/>
  <c r="I45" i="10"/>
  <c r="E45" i="10"/>
  <c r="C45" i="10"/>
  <c r="J56" i="31"/>
  <c r="Q52" i="31"/>
  <c r="N52" i="31"/>
  <c r="K52" i="31"/>
  <c r="J52" i="31"/>
  <c r="Q48" i="31"/>
  <c r="N48" i="31"/>
  <c r="K48" i="31"/>
  <c r="J48" i="31"/>
  <c r="Q47" i="31"/>
  <c r="N47" i="31"/>
  <c r="K47" i="31"/>
  <c r="J47" i="31"/>
  <c r="K46" i="31"/>
  <c r="J46" i="31"/>
  <c r="Q44" i="31"/>
  <c r="N44" i="31"/>
  <c r="K44" i="31"/>
  <c r="J44" i="31"/>
  <c r="Q43" i="31"/>
  <c r="N43" i="31"/>
  <c r="K43" i="31"/>
  <c r="J43" i="31"/>
  <c r="O41" i="31"/>
  <c r="Q40" i="31"/>
  <c r="N40" i="31"/>
  <c r="K40" i="31"/>
  <c r="J40" i="31"/>
  <c r="Q39" i="31"/>
  <c r="N39" i="31"/>
  <c r="K39" i="31"/>
  <c r="J39" i="31"/>
  <c r="O38" i="31"/>
  <c r="L38" i="31"/>
  <c r="L55" i="31" s="1"/>
  <c r="I38" i="31"/>
  <c r="I55" i="31" s="1"/>
  <c r="H38" i="31"/>
  <c r="H55" i="31" s="1"/>
  <c r="Q33" i="31"/>
  <c r="N33" i="31"/>
  <c r="K33" i="31"/>
  <c r="J33" i="31"/>
  <c r="Q32" i="31"/>
  <c r="N32" i="31"/>
  <c r="K32" i="31"/>
  <c r="J32" i="31"/>
  <c r="O35" i="31"/>
  <c r="L35" i="31"/>
  <c r="I35" i="31"/>
  <c r="H35" i="31"/>
  <c r="L28" i="31"/>
  <c r="I28" i="31"/>
  <c r="J28" i="31" s="1"/>
  <c r="H28" i="31"/>
  <c r="Q27" i="31"/>
  <c r="N27" i="31"/>
  <c r="K27" i="31"/>
  <c r="J27" i="31"/>
  <c r="Q26" i="31"/>
  <c r="N26" i="31"/>
  <c r="K26" i="31"/>
  <c r="J26" i="31"/>
  <c r="Q25" i="31"/>
  <c r="N25" i="31"/>
  <c r="K25" i="31"/>
  <c r="J25" i="31"/>
  <c r="N24" i="31"/>
  <c r="K24" i="31"/>
  <c r="J24" i="31"/>
  <c r="Q23" i="31"/>
  <c r="N23" i="31"/>
  <c r="K23" i="31"/>
  <c r="J23" i="31"/>
  <c r="Q22" i="31"/>
  <c r="N22" i="31"/>
  <c r="K22" i="31"/>
  <c r="J22" i="31"/>
  <c r="O19" i="31"/>
  <c r="O65" i="31" s="1"/>
  <c r="L19" i="31"/>
  <c r="L65" i="31" s="1"/>
  <c r="I19" i="31"/>
  <c r="H19" i="31"/>
  <c r="Q18" i="31"/>
  <c r="Q17" i="31"/>
  <c r="N17" i="31"/>
  <c r="K17" i="31"/>
  <c r="J17" i="31"/>
  <c r="Q16" i="31"/>
  <c r="N16" i="31"/>
  <c r="K16" i="31"/>
  <c r="J16" i="31"/>
  <c r="P8" i="31"/>
  <c r="P7" i="31"/>
  <c r="P6" i="31"/>
  <c r="P5" i="31"/>
  <c r="J19" i="31" l="1"/>
  <c r="I65" i="31"/>
  <c r="O55" i="31"/>
  <c r="D25" i="10"/>
  <c r="F25" i="10" s="1"/>
  <c r="D28" i="10"/>
  <c r="F28" i="10" s="1"/>
  <c r="D19" i="10"/>
  <c r="C4" i="10"/>
  <c r="F8" i="10" s="1"/>
  <c r="N28" i="31"/>
  <c r="K28" i="31"/>
  <c r="K19" i="31"/>
  <c r="N41" i="31"/>
  <c r="D23" i="10"/>
  <c r="F23" i="10" s="1"/>
  <c r="D37" i="10"/>
  <c r="F37" i="10" s="1"/>
  <c r="D34" i="10"/>
  <c r="F34" i="10" s="1"/>
  <c r="K41" i="31"/>
  <c r="O28" i="31"/>
  <c r="N19" i="31"/>
  <c r="N38" i="31"/>
  <c r="J41" i="31"/>
  <c r="Q41" i="31"/>
  <c r="K38" i="31"/>
  <c r="D43" i="13"/>
  <c r="H57" i="31"/>
  <c r="Q35" i="31"/>
  <c r="K35" i="31"/>
  <c r="J35" i="31"/>
  <c r="N35" i="31"/>
  <c r="Q38" i="31"/>
  <c r="Q31" i="31"/>
  <c r="Q19" i="31"/>
  <c r="Q24" i="31"/>
  <c r="J31" i="31"/>
  <c r="N31" i="31"/>
  <c r="J38" i="31"/>
  <c r="K31" i="31"/>
  <c r="D42" i="10"/>
  <c r="F42" i="10" s="1"/>
  <c r="D40" i="10"/>
  <c r="F40" i="10" s="1"/>
  <c r="D44" i="10"/>
  <c r="F44" i="10" s="1"/>
  <c r="D35" i="10"/>
  <c r="F35" i="10" s="1"/>
  <c r="D32" i="10"/>
  <c r="F32" i="10" s="1"/>
  <c r="D43" i="10"/>
  <c r="F43" i="10" s="1"/>
  <c r="D41" i="10"/>
  <c r="F41" i="10" s="1"/>
  <c r="D39" i="10"/>
  <c r="F39" i="10" s="1"/>
  <c r="D36" i="10"/>
  <c r="F36" i="10" s="1"/>
  <c r="D33" i="10"/>
  <c r="F33" i="10" s="1"/>
  <c r="D30" i="10"/>
  <c r="F30" i="10" s="1"/>
  <c r="D31" i="10"/>
  <c r="F31" i="10" s="1"/>
  <c r="D26" i="10"/>
  <c r="F26" i="10" s="1"/>
  <c r="D24" i="10"/>
  <c r="F24" i="10" s="1"/>
  <c r="D20" i="10"/>
  <c r="F20" i="10" s="1"/>
  <c r="D38" i="10"/>
  <c r="F38" i="10" s="1"/>
  <c r="D29" i="10"/>
  <c r="F29" i="10" s="1"/>
  <c r="D27" i="10"/>
  <c r="F27" i="10" s="1"/>
  <c r="D21" i="10"/>
  <c r="F21" i="10" s="1"/>
  <c r="I5" i="10"/>
  <c r="D22" i="10"/>
  <c r="F22" i="10" s="1"/>
  <c r="I6" i="10"/>
  <c r="O57" i="31" l="1"/>
  <c r="Q28" i="31"/>
  <c r="F5" i="10"/>
  <c r="F6" i="10"/>
  <c r="H41" i="10"/>
  <c r="O41" i="10" s="1"/>
  <c r="K55" i="31"/>
  <c r="J55" i="31"/>
  <c r="N55" i="31"/>
  <c r="D45" i="10"/>
  <c r="F19" i="10"/>
  <c r="H40" i="10"/>
  <c r="O40" i="10" s="1"/>
  <c r="G33" i="19"/>
  <c r="G36" i="19" s="1"/>
  <c r="G38" i="19" s="1"/>
  <c r="I57" i="31"/>
  <c r="L57" i="31"/>
  <c r="L61" i="31" s="1"/>
  <c r="L62" i="31" s="1"/>
  <c r="L67" i="31" s="1"/>
  <c r="Q55" i="31"/>
  <c r="P49" i="31" l="1"/>
  <c r="P51" i="31"/>
  <c r="P57" i="31"/>
  <c r="P53" i="31"/>
  <c r="P46" i="31"/>
  <c r="P42" i="31"/>
  <c r="P32" i="31"/>
  <c r="P26" i="31"/>
  <c r="P22" i="31"/>
  <c r="P47" i="31"/>
  <c r="P39" i="31"/>
  <c r="P27" i="31"/>
  <c r="P16" i="31"/>
  <c r="P56" i="31"/>
  <c r="P52" i="31"/>
  <c r="P45" i="31"/>
  <c r="P25" i="31"/>
  <c r="P18" i="31"/>
  <c r="O61" i="31"/>
  <c r="O62" i="31" s="1"/>
  <c r="O67" i="31" s="1"/>
  <c r="P54" i="31"/>
  <c r="P43" i="31"/>
  <c r="P33" i="31"/>
  <c r="P23" i="31"/>
  <c r="P48" i="31"/>
  <c r="P44" i="31"/>
  <c r="P40" i="31"/>
  <c r="P34" i="31"/>
  <c r="P24" i="31"/>
  <c r="P17" i="31"/>
  <c r="P31" i="31"/>
  <c r="P19" i="31"/>
  <c r="P41" i="31"/>
  <c r="P35" i="31"/>
  <c r="P38" i="31"/>
  <c r="P55" i="31"/>
  <c r="P28" i="31"/>
  <c r="Q57" i="31"/>
  <c r="H33" i="10"/>
  <c r="O33" i="10" s="1"/>
  <c r="O37" i="10"/>
  <c r="H42" i="10"/>
  <c r="O42" i="10" s="1"/>
  <c r="H44" i="10"/>
  <c r="O44" i="10" s="1"/>
  <c r="H25" i="10"/>
  <c r="O25" i="10" s="1"/>
  <c r="H23" i="10"/>
  <c r="H30" i="10"/>
  <c r="O38" i="10"/>
  <c r="H36" i="10"/>
  <c r="O36" i="10" s="1"/>
  <c r="H22" i="10"/>
  <c r="H28" i="10"/>
  <c r="O28" i="10" s="1"/>
  <c r="J57" i="31"/>
  <c r="K57" i="31"/>
  <c r="H21" i="10"/>
  <c r="H34" i="10"/>
  <c r="O34" i="10" s="1"/>
  <c r="H32" i="10"/>
  <c r="H27" i="10"/>
  <c r="O27" i="10" s="1"/>
  <c r="H29" i="10"/>
  <c r="H31" i="10"/>
  <c r="O31" i="10" s="1"/>
  <c r="N57" i="31"/>
  <c r="L56" i="31"/>
  <c r="M57" i="31"/>
  <c r="M35" i="31"/>
  <c r="M19" i="31"/>
  <c r="M28" i="31"/>
  <c r="H35" i="10"/>
  <c r="O35" i="10" s="1"/>
  <c r="F45" i="10"/>
  <c r="M55" i="31"/>
  <c r="H24" i="10"/>
  <c r="O24" i="10" s="1"/>
  <c r="O23" i="10" l="1"/>
  <c r="O22" i="10"/>
  <c r="O29" i="10"/>
  <c r="O26" i="10"/>
  <c r="O32" i="10"/>
  <c r="O21" i="10"/>
  <c r="M53" i="31"/>
  <c r="M54" i="31"/>
  <c r="O30" i="10"/>
  <c r="M41" i="31"/>
  <c r="M26" i="31"/>
  <c r="M17" i="31"/>
  <c r="M25" i="31"/>
  <c r="M48" i="31"/>
  <c r="M46" i="31"/>
  <c r="M43" i="31"/>
  <c r="M40" i="31"/>
  <c r="M33" i="31"/>
  <c r="M27" i="31"/>
  <c r="M24" i="31"/>
  <c r="M16" i="31"/>
  <c r="M23" i="31"/>
  <c r="M22" i="31"/>
  <c r="M52" i="31"/>
  <c r="M47" i="31"/>
  <c r="M44" i="31"/>
  <c r="M39" i="31"/>
  <c r="M32" i="31"/>
  <c r="M31" i="31"/>
  <c r="M38" i="31"/>
  <c r="H43" i="10"/>
  <c r="O43" i="10" s="1"/>
  <c r="K45" i="10" l="1"/>
  <c r="H39" i="10"/>
  <c r="O39" i="10" s="1"/>
  <c r="H19" i="10"/>
  <c r="O19" i="10" s="1"/>
  <c r="J45" i="10"/>
  <c r="H20" i="10" l="1"/>
  <c r="O20" i="10" s="1"/>
  <c r="G45" i="10" l="1"/>
  <c r="H45" i="10" l="1"/>
  <c r="O45" i="10"/>
</calcChain>
</file>

<file path=xl/sharedStrings.xml><?xml version="1.0" encoding="utf-8"?>
<sst xmlns="http://schemas.openxmlformats.org/spreadsheetml/2006/main" count="1244" uniqueCount="348">
  <si>
    <t>údaje v Kč</t>
  </si>
  <si>
    <t>Ukazatel P - společenské priority</t>
  </si>
  <si>
    <t>Kód VVŠ</t>
  </si>
  <si>
    <t>Název VVŠ</t>
  </si>
  <si>
    <t>Univerzita Karlova</t>
  </si>
  <si>
    <t>Jihočeská univerzita v Českých Budějovicích</t>
  </si>
  <si>
    <t>Univerzita Jana Evangelisty Purkyně v Ústí nad Labem</t>
  </si>
  <si>
    <t>Masarykova univerzita</t>
  </si>
  <si>
    <t>Univerzita Palackého v Olomouci</t>
  </si>
  <si>
    <t>Ostravská univerzita</t>
  </si>
  <si>
    <t>Univerzita Hradec Králové</t>
  </si>
  <si>
    <t>Slezská univerzita v Opavě</t>
  </si>
  <si>
    <t>České vysoké učení technické v Praze</t>
  </si>
  <si>
    <t>Vysoká škola chemicko-technologická v Praze</t>
  </si>
  <si>
    <t>Západočeská univerzita v Plzni</t>
  </si>
  <si>
    <t>Technická univerzita v Liberci</t>
  </si>
  <si>
    <t>Univerzita Pardubice</t>
  </si>
  <si>
    <t>Vysoké učení technické v Brně</t>
  </si>
  <si>
    <t>Vysoká škola báňská - Technická univerzita Ostrava</t>
  </si>
  <si>
    <t>Univerzita Tomáše Bati ve Zlíně</t>
  </si>
  <si>
    <t>Vysoká škola ekonomická v Praze</t>
  </si>
  <si>
    <t>Česká zemědělská univerzita v Praze</t>
  </si>
  <si>
    <t>Mendelova univerzita v Brně</t>
  </si>
  <si>
    <t>Akademie múzických umění v Praze</t>
  </si>
  <si>
    <t>Akademie výtvarných umění v Praze</t>
  </si>
  <si>
    <t>Vysoká škola uměleckoprůmyslová v Praze</t>
  </si>
  <si>
    <t>Vysoká škola polytechnická Jihlava</t>
  </si>
  <si>
    <t>Vysoká škola technická a ekonomická v Českých Budějovicích</t>
  </si>
  <si>
    <t>Celkem</t>
  </si>
  <si>
    <t>Podíl v %</t>
  </si>
  <si>
    <t>Částka</t>
  </si>
  <si>
    <t>Částka po krácení</t>
  </si>
  <si>
    <t>vč. krácení dle čl. 10 odst. 7 Pravidel</t>
  </si>
  <si>
    <t>částka vyčleněná na RO I</t>
  </si>
  <si>
    <t>Kč</t>
  </si>
  <si>
    <t>Podíl na RO I</t>
  </si>
  <si>
    <t>RO I celkem</t>
  </si>
  <si>
    <t xml:space="preserve">     v tom ukazatel A - fixní část</t>
  </si>
  <si>
    <t xml:space="preserve">     v tom ukazatel K - výkonová část </t>
  </si>
  <si>
    <t xml:space="preserve">     v tom ukazatel P - společenské priority</t>
  </si>
  <si>
    <t>Podíl na A + K</t>
  </si>
  <si>
    <t>Ukazatel A - fixní část</t>
  </si>
  <si>
    <t>Ukazatel K - výkonová část</t>
  </si>
  <si>
    <t>Lékařské fakulty</t>
  </si>
  <si>
    <t>Pedagogické fakulty</t>
  </si>
  <si>
    <t xml:space="preserve">                 v tom lékařské fakulty</t>
  </si>
  <si>
    <t xml:space="preserve">                 v tom pedagogické fakulty</t>
  </si>
  <si>
    <t>(Nezahrnuje dotace na programy reprodukce majetku)</t>
  </si>
  <si>
    <t>Položka</t>
  </si>
  <si>
    <t>meziroční změna</t>
  </si>
  <si>
    <t>Průměrný normativ</t>
  </si>
  <si>
    <t>x</t>
  </si>
  <si>
    <t>Výpočt. stip. v doktor. studiu (ročně)</t>
  </si>
  <si>
    <t>Základní normativ</t>
  </si>
  <si>
    <t>Výpočtové ubytovací stipendium (ročně)</t>
  </si>
  <si>
    <t xml:space="preserve">Normativ absolventa </t>
  </si>
  <si>
    <t>Výpočtová dotace na 1  jídlo</t>
  </si>
  <si>
    <t>Název ukazatele / položky</t>
  </si>
  <si>
    <r>
      <t xml:space="preserve">% podíl z celku </t>
    </r>
    <r>
      <rPr>
        <i/>
        <sz val="11"/>
        <color indexed="23"/>
        <rFont val="Arial"/>
        <family val="2"/>
        <charset val="238"/>
      </rPr>
      <t>(sl. 3)</t>
    </r>
  </si>
  <si>
    <r>
      <t xml:space="preserve">Meziroční vývoj 
</t>
    </r>
    <r>
      <rPr>
        <i/>
        <sz val="11"/>
        <color indexed="23"/>
        <rFont val="Arial"/>
        <family val="2"/>
        <charset val="238"/>
      </rPr>
      <t>(sl. 3 vs 2)</t>
    </r>
  </si>
  <si>
    <r>
      <t xml:space="preserve">% podíl z celku </t>
    </r>
    <r>
      <rPr>
        <i/>
        <sz val="11"/>
        <color indexed="23"/>
        <rFont val="Arial"/>
        <family val="2"/>
        <charset val="238"/>
      </rPr>
      <t>(sl. 6)</t>
    </r>
  </si>
  <si>
    <r>
      <t xml:space="preserve">Meziroční vývoj 
</t>
    </r>
    <r>
      <rPr>
        <i/>
        <sz val="11"/>
        <color indexed="23"/>
        <rFont val="Arial"/>
        <family val="2"/>
        <charset val="238"/>
      </rPr>
      <t>(sl. 6 vs 3)</t>
    </r>
  </si>
  <si>
    <r>
      <t xml:space="preserve">% podíl z celku </t>
    </r>
    <r>
      <rPr>
        <i/>
        <sz val="11"/>
        <color indexed="23"/>
        <rFont val="Arial"/>
        <family val="2"/>
        <charset val="238"/>
      </rPr>
      <t>(sl. 9)</t>
    </r>
  </si>
  <si>
    <r>
      <t xml:space="preserve">Meziroční vývoj 
</t>
    </r>
    <r>
      <rPr>
        <i/>
        <sz val="11"/>
        <color indexed="23"/>
        <rFont val="Arial"/>
        <family val="2"/>
        <charset val="238"/>
      </rPr>
      <t>(sl. 9 vs 6)</t>
    </r>
  </si>
  <si>
    <t>Rozpočtový okruh I, institucionální část rozpočtu</t>
  </si>
  <si>
    <t>P</t>
  </si>
  <si>
    <t>Celkem normativní část rozpočtu</t>
  </si>
  <si>
    <t>Rozpočtový okruh II, Sociální záležitosti studentů</t>
  </si>
  <si>
    <t>Ukazatel C - stipendia pro studenty doktorských stud. prog.</t>
  </si>
  <si>
    <t>D</t>
  </si>
  <si>
    <t>Ukazatel J - dotace na ubytování a stravování studentů</t>
  </si>
  <si>
    <t>Ukazatel S1 - příspěvek na sociální stipendia VVŠ</t>
  </si>
  <si>
    <t>Ukazatel U1- příspěvek na ubytovací stipendia VVŠ</t>
  </si>
  <si>
    <t>Celkem sociální záležitosti studentů</t>
  </si>
  <si>
    <t>Rozpočtový okruh III, Rozvoj vysokých škol</t>
  </si>
  <si>
    <t xml:space="preserve">Ukazatel I - rozvojové programy </t>
  </si>
  <si>
    <t>Centralizované rozvojové projekty</t>
  </si>
  <si>
    <t>Program digitalizace</t>
  </si>
  <si>
    <t>Celkem rozvoj vysokých škol</t>
  </si>
  <si>
    <t>Rozpočtový okruh IV, Mezinárodní spolupráce a ostatní</t>
  </si>
  <si>
    <t>Ukazatel D - mezinárodní spolupráce</t>
  </si>
  <si>
    <t>CEEPUS</t>
  </si>
  <si>
    <t>Podpora mezinárodní spolupráce</t>
  </si>
  <si>
    <t>Ukazatel F - Fond vzdělávací politiky</t>
  </si>
  <si>
    <t>V tom:</t>
  </si>
  <si>
    <t>Systémová podpora VŠ</t>
  </si>
  <si>
    <t>Studium studentů se specifickými potřebami</t>
  </si>
  <si>
    <t>Univerzita třetího věku (U3V)</t>
  </si>
  <si>
    <t>Podpora umělecké tvůrčí činnosti</t>
  </si>
  <si>
    <t>další</t>
  </si>
  <si>
    <t>Celkem Mezinárodní spolupráce a ostatní</t>
  </si>
  <si>
    <t>Ukazatel rozpočtu VŠ (zák. o státním rozpočtu)</t>
  </si>
  <si>
    <t>Příspěvek celkem</t>
  </si>
  <si>
    <t>Dotace celkem</t>
  </si>
  <si>
    <t>V některých ukazatelích může být poskytnut příspěvek nebo dotace v závislosti na účelu, na který se poskytuje.</t>
  </si>
  <si>
    <t>Rozpočet 2020</t>
  </si>
  <si>
    <t>Ukazatel C</t>
  </si>
  <si>
    <t>Jednotková výše stipendia - 10 měsíců v roce (Kč)</t>
  </si>
  <si>
    <t>měsíčně</t>
  </si>
  <si>
    <t>Jednotková výše stipendia (Kč)</t>
  </si>
  <si>
    <t>ročně</t>
  </si>
  <si>
    <t xml:space="preserve">Výše příspěvku           v ukazateli </t>
  </si>
  <si>
    <t>Ukazatel U</t>
  </si>
  <si>
    <t>Základní údaje</t>
  </si>
  <si>
    <t>Počet studentů splňujících podmínky VVŠ</t>
  </si>
  <si>
    <t>Počet studentů splňujících podmínky SVŠ</t>
  </si>
  <si>
    <t>Jednotková sazba (Kč)</t>
  </si>
  <si>
    <t>Výše příspěvku pro VVŠ (Kč)</t>
  </si>
  <si>
    <t>Ukazatel U1 - veřejné vysoké školy</t>
  </si>
  <si>
    <t>Název VŠ</t>
  </si>
  <si>
    <t>Počet studentů</t>
  </si>
  <si>
    <t>výše příspěvku</t>
  </si>
  <si>
    <t>Celkem   V V Š</t>
  </si>
  <si>
    <t>SP přípravující budoucí ped. pracovníky</t>
  </si>
  <si>
    <t>Ekonomická knihovna VŠE</t>
  </si>
  <si>
    <t>Váha parametru</t>
  </si>
  <si>
    <t>Mezinárodní mobility</t>
  </si>
  <si>
    <t>Zaměstnanost abolventů</t>
  </si>
  <si>
    <t>VaV</t>
  </si>
  <si>
    <t>RUV</t>
  </si>
  <si>
    <t>Externí příjmy</t>
  </si>
  <si>
    <t>Podíl v rámci segmentu</t>
  </si>
  <si>
    <t>Celkový podíl na výkonové části</t>
  </si>
  <si>
    <t>Vyslaní</t>
  </si>
  <si>
    <t>Přijatí</t>
  </si>
  <si>
    <t>Podíl</t>
  </si>
  <si>
    <t>CELKEM</t>
  </si>
  <si>
    <t>Graduation rate</t>
  </si>
  <si>
    <t>Zaměstnanost absolventů</t>
  </si>
  <si>
    <t>Cizinci (AP + VP)</t>
  </si>
  <si>
    <t xml:space="preserve">                 v tom učitelské SP</t>
  </si>
  <si>
    <t xml:space="preserve">                 v tom ekonomická knihovna CIKS</t>
  </si>
  <si>
    <t>Ukazatel J</t>
  </si>
  <si>
    <t xml:space="preserve">celkový počet vydaných jídel </t>
  </si>
  <si>
    <t>teplých</t>
  </si>
  <si>
    <t>studených</t>
  </si>
  <si>
    <t>stud. přepočt.</t>
  </si>
  <si>
    <t>celkem tep. + st. přep.</t>
  </si>
  <si>
    <t>Normativ na jedno hlavní jídlo (Kč)</t>
  </si>
  <si>
    <t>Rezerva na žádosti dle čl. 16 Pravidel (Kč)</t>
  </si>
  <si>
    <t>Ukazatel P - společenské priority - pedagogické fakulty</t>
  </si>
  <si>
    <t>Název fakulty</t>
  </si>
  <si>
    <t>Podíl na celku</t>
  </si>
  <si>
    <t>Objem na dorovnání v Kč</t>
  </si>
  <si>
    <t>Částka v Kč</t>
  </si>
  <si>
    <t>Pedagogická fakulta</t>
  </si>
  <si>
    <t>Fakulta př/hum a pedagogická</t>
  </si>
  <si>
    <t xml:space="preserve">Ukazatel F </t>
  </si>
  <si>
    <t>Celková částka podle rozpisu rozpočtu (Kč)</t>
  </si>
  <si>
    <t>Jednotková částka na jednu studentohodinu (Kč)</t>
  </si>
  <si>
    <t>Upravený nárok</t>
  </si>
  <si>
    <t>Počet účastníků U3V</t>
  </si>
  <si>
    <t>Počet studento- hodin</t>
  </si>
  <si>
    <t>Ukazatel F</t>
  </si>
  <si>
    <t>Celková částka vyčleněná na studium SSP (Kč)</t>
  </si>
  <si>
    <t>Rozsah vykrytí kalkulovaných zvýšených nákladů (%)</t>
  </si>
  <si>
    <t>Kalkulované zvýšené náklady (Kč)</t>
  </si>
  <si>
    <r>
      <t>Sociální stipendium (měsíčně)</t>
    </r>
    <r>
      <rPr>
        <b/>
        <vertAlign val="superscript"/>
        <sz val="11"/>
        <rFont val="Arial"/>
        <family val="2"/>
        <charset val="238"/>
      </rPr>
      <t xml:space="preserve"> 2*)</t>
    </r>
  </si>
  <si>
    <r>
      <t xml:space="preserve">Příspěvek </t>
    </r>
    <r>
      <rPr>
        <b/>
        <vertAlign val="superscript"/>
        <sz val="11"/>
        <rFont val="Arial"/>
        <family val="2"/>
        <charset val="238"/>
      </rPr>
      <t>1*</t>
    </r>
    <r>
      <rPr>
        <b/>
        <sz val="11"/>
        <rFont val="Arial"/>
        <family val="2"/>
        <charset val="238"/>
      </rPr>
      <t>)</t>
    </r>
  </si>
  <si>
    <r>
      <t xml:space="preserve">Dotace </t>
    </r>
    <r>
      <rPr>
        <b/>
        <vertAlign val="superscript"/>
        <sz val="11"/>
        <rFont val="Arial"/>
        <family val="2"/>
        <charset val="238"/>
      </rPr>
      <t>1*)</t>
    </r>
  </si>
  <si>
    <t>v tom</t>
  </si>
  <si>
    <t>Celkem příspěvek + dotace</t>
  </si>
  <si>
    <t>Výdaje na EDS/SMVS (sekce I)</t>
  </si>
  <si>
    <t>Výdaje na činnost VŠ</t>
  </si>
  <si>
    <t xml:space="preserve">1*) </t>
  </si>
  <si>
    <t xml:space="preserve">2*) </t>
  </si>
  <si>
    <t>Soukromé VŠ</t>
  </si>
  <si>
    <t>Univerzita obrany</t>
  </si>
  <si>
    <t>Ukazatel U2 - dotace na ubytovací stipendia SVŠ</t>
  </si>
  <si>
    <t>Ukazatel S2 - dotace na sociální stipendia SVŠ</t>
  </si>
  <si>
    <t>Studia v cizím jazyce</t>
  </si>
  <si>
    <t>Ukazatel I</t>
  </si>
  <si>
    <t xml:space="preserve">Počet rozpočtových absolventů za období 1. 11.  - 31. 10. </t>
  </si>
  <si>
    <t>Ukazatel P - společenské priority - podpora pedagogických SP</t>
  </si>
  <si>
    <t>Přepočtená studia</t>
  </si>
  <si>
    <t>Rozpočtoví absolventi</t>
  </si>
  <si>
    <t>Počet</t>
  </si>
  <si>
    <t>Kód fakulty</t>
  </si>
  <si>
    <t>Fond umělecké činnosti (FUČ)</t>
  </si>
  <si>
    <t xml:space="preserve">3*) </t>
  </si>
  <si>
    <t>Rezerva na navýš. RO I dle čl. 14 odst. 3 Pravidel pro rok 2020</t>
  </si>
  <si>
    <r>
      <t xml:space="preserve">Podpora pedagogických fakult/pedagogických studijních programů </t>
    </r>
    <r>
      <rPr>
        <i/>
        <vertAlign val="superscript"/>
        <sz val="11"/>
        <rFont val="Arial"/>
        <family val="2"/>
        <charset val="238"/>
      </rPr>
      <t>3*)</t>
    </r>
  </si>
  <si>
    <t>Bude upřesněno v průběhu roku podle povahy schválených výdajů ukazatele F</t>
  </si>
  <si>
    <t>Fond umělecké činnosti</t>
  </si>
  <si>
    <t>Zdrojem dat jsou výstupy ze SIMS k 31. 10.</t>
  </si>
  <si>
    <t>Jedná o SP s dvojčíslím "75" bez SP zaměřených na sociální práci a sociální péči (7502;7508) - staré kódování a o SP s ISCED-F začínající na dvojčíslí "01" nebo převažující oblastí vzdělávání 19 nebo 30.</t>
  </si>
  <si>
    <t>Seznam tabulek:</t>
  </si>
  <si>
    <t>Ukazatel F - U3V</t>
  </si>
  <si>
    <t>Výkonová část - segment 1</t>
  </si>
  <si>
    <t>Výkonová část - segment 2</t>
  </si>
  <si>
    <t>Výkonová část - segment 3</t>
  </si>
  <si>
    <t>Výkonová část - segment 4</t>
  </si>
  <si>
    <t>Ukazatel P - Pedagogické fakulty</t>
  </si>
  <si>
    <t>Ukazatel P - Pedagogické SP</t>
  </si>
  <si>
    <t xml:space="preserve">Ukazatel F - SSP </t>
  </si>
  <si>
    <t>2a</t>
  </si>
  <si>
    <t>2b</t>
  </si>
  <si>
    <t>2c</t>
  </si>
  <si>
    <t>2d</t>
  </si>
  <si>
    <t>3a</t>
  </si>
  <si>
    <t>3b</t>
  </si>
  <si>
    <t>Rozpočtový okruh I</t>
  </si>
  <si>
    <t>Rozpočet 2021</t>
  </si>
  <si>
    <t>Přepočtený počet studií k 31. 10. 2020</t>
  </si>
  <si>
    <t>Počet rozpočtových absolventů za období 1. 11. 2019 - 31. 10. 2020</t>
  </si>
  <si>
    <t>Rok 2020</t>
  </si>
  <si>
    <t>Přepočtená studia k 31. 10. 2020</t>
  </si>
  <si>
    <t>Rozpočtoví absolventi za období 1. 11. 2019 - 31. 10. 2020</t>
  </si>
  <si>
    <t>SP připravující budoucí pedag. prac. na nepedagogických fakultách v deficitních aprobacích</t>
  </si>
  <si>
    <t>Ukazatel P - Lékařské fakulty</t>
  </si>
  <si>
    <t>3c</t>
  </si>
  <si>
    <t>3d</t>
  </si>
  <si>
    <t>Ukazatel P - Deficitní aprobace</t>
  </si>
  <si>
    <t>10a</t>
  </si>
  <si>
    <t>10b</t>
  </si>
  <si>
    <t>Přepočtený počet studentů k 31. 10.</t>
  </si>
  <si>
    <t>Ukazatel P - společenské priority - lékařské fakulty</t>
  </si>
  <si>
    <t>1. lékařská fakulta</t>
  </si>
  <si>
    <t>3. lékařská fakulta</t>
  </si>
  <si>
    <t>2. lékařská fakulta</t>
  </si>
  <si>
    <t>Lékařská fakulta v Plzni</t>
  </si>
  <si>
    <t>Lékařská fakulta v Hradci Králové</t>
  </si>
  <si>
    <t>Lékařská fakulta</t>
  </si>
  <si>
    <t>Aktivní studia</t>
  </si>
  <si>
    <t>Absolvovaná studia</t>
  </si>
  <si>
    <t>Přírodovědecká fakulta</t>
  </si>
  <si>
    <t>Fakulta tělesné výchovy a sportu</t>
  </si>
  <si>
    <t>Matematicko-fyzikální fakulta</t>
  </si>
  <si>
    <t>Fakulta sportovních studií</t>
  </si>
  <si>
    <t>Fakulta tělesné kultury</t>
  </si>
  <si>
    <t xml:space="preserve">Celoškolská pracoviště (studium mimo fakulty) </t>
  </si>
  <si>
    <t>Fakulta aplikovaných věd</t>
  </si>
  <si>
    <t>Fakulta aplikované informatiky</t>
  </si>
  <si>
    <t>Ukazatel P - podpora pedagogických SP s deficitními aprobacemi</t>
  </si>
  <si>
    <t>Dílčí indikátor</t>
  </si>
  <si>
    <t>Váha</t>
  </si>
  <si>
    <t>Přepočtený počet doc a prof</t>
  </si>
  <si>
    <t>Rozpočtová absolvovaná studia</t>
  </si>
  <si>
    <t>Přepočtená studia na 1 akademického pracovníka</t>
  </si>
  <si>
    <t>VVŠ</t>
  </si>
  <si>
    <t>Název Fakulty</t>
  </si>
  <si>
    <t>Celkový podíl</t>
  </si>
  <si>
    <t>1300</t>
  </si>
  <si>
    <t>Fakulta umění a designu</t>
  </si>
  <si>
    <t>1700</t>
  </si>
  <si>
    <t>Fakulta umění</t>
  </si>
  <si>
    <t>2100</t>
  </si>
  <si>
    <t>Fakulta architektury</t>
  </si>
  <si>
    <t>2300</t>
  </si>
  <si>
    <t>Fakulta designu a umění Ladislava Sutnara</t>
  </si>
  <si>
    <t>2400</t>
  </si>
  <si>
    <t>Fakulta umění a architektury</t>
  </si>
  <si>
    <t>2500</t>
  </si>
  <si>
    <t>Fakulta restaurování</t>
  </si>
  <si>
    <t>2600</t>
  </si>
  <si>
    <t>Fakulta výtvarných umění</t>
  </si>
  <si>
    <t>2800</t>
  </si>
  <si>
    <t>Fakulta multimediálních komunikací</t>
  </si>
  <si>
    <t>5100</t>
  </si>
  <si>
    <t>Hudební a taneční fakulta</t>
  </si>
  <si>
    <t>Divadelní fakulta</t>
  </si>
  <si>
    <t>Filmová a televizní fakulta</t>
  </si>
  <si>
    <t>5200</t>
  </si>
  <si>
    <t>Celoškolská pracoviště (studium mimo fakulty)</t>
  </si>
  <si>
    <t>5300</t>
  </si>
  <si>
    <t>5400</t>
  </si>
  <si>
    <t>Hudební fakulta</t>
  </si>
  <si>
    <t>Počet studentů           se SP</t>
  </si>
  <si>
    <t xml:space="preserve">                 v tom učitelské SP - deficitní aprobace</t>
  </si>
  <si>
    <t>Seznam</t>
  </si>
  <si>
    <t>Počet stud. v DSP s nárokem na stupendium</t>
  </si>
  <si>
    <t>Roční dotace na stravování (Kč)</t>
  </si>
  <si>
    <t>Rozpočtová výše dotace pro SVŠ (Kč)</t>
  </si>
  <si>
    <t>Uplatněný nárok</t>
  </si>
  <si>
    <t>Členění rozpisu rozpočtu (vč. výdajů na EDS/SMVS a výdajů na mezinárodní spolupráci) z pohledu struktury výdajů státní pokladny</t>
  </si>
  <si>
    <t>Výdaje na mezinárodní spolupráci (sekce IV)</t>
  </si>
  <si>
    <t>Krácení finančních prostředků</t>
  </si>
  <si>
    <t>Částka v KČ</t>
  </si>
  <si>
    <t>Dotace (Kč)</t>
  </si>
  <si>
    <t>Rok 2021</t>
  </si>
  <si>
    <t>Přepočtený počet studií k 31. 10. 2021</t>
  </si>
  <si>
    <t>Počet rozpočtových absolventů za období 1. 11. 2020 - 31. 10. 2021</t>
  </si>
  <si>
    <t>Přepočtená studia k 31. 10. 2021</t>
  </si>
  <si>
    <t>Rozpočtoví absolventi za období 1. 11. 2020 - 31. 10. 2021</t>
  </si>
  <si>
    <t>Rozpočet 2022</t>
  </si>
  <si>
    <t xml:space="preserve">                 v tom navýšení pro segment 1</t>
  </si>
  <si>
    <t xml:space="preserve">C e l k e m </t>
  </si>
  <si>
    <t>Segment 1</t>
  </si>
  <si>
    <t>Segment 2</t>
  </si>
  <si>
    <t>Segment 3</t>
  </si>
  <si>
    <t>Segment 4</t>
  </si>
  <si>
    <t>Segment</t>
  </si>
  <si>
    <t>Výkonová část bez navýšení pro segment 1</t>
  </si>
  <si>
    <t>Upravené podíly segmentů</t>
  </si>
  <si>
    <t>Nastavení podílů segmentů na výkonové části</t>
  </si>
  <si>
    <t>Nastavení podílů segmentů</t>
  </si>
  <si>
    <t>Veterinární univerzita Brno</t>
  </si>
  <si>
    <t>Maximální výše ročního příspěvku</t>
  </si>
  <si>
    <t>Institucionální (dříve decentralizované) plány - od r. 2022 - PPSŘ</t>
  </si>
  <si>
    <t>Kofinancování NPO</t>
  </si>
  <si>
    <t>Podpora ukrajinských studentů</t>
  </si>
  <si>
    <t>Finační prostředky bez navýšení pro segment 1 * podíl segmentu</t>
  </si>
  <si>
    <t>Finanční prostředky po navýšení segmentu 1</t>
  </si>
  <si>
    <t>Janáčkova akademie múzických umění</t>
  </si>
  <si>
    <t>Podpora pedagogických fakult ve výši 115 000 000 Kč poskytována od roku 2019 skrze ukazatel P. Podpora pedagogických studijních programů ve výši 85 000 000 Kč poskytována od roku 2020 skrze ukazatel P. Podpora ve výši 30 000 000 Kč směřovaná na pedagogické studijní programy s deficitními aprobacemi (matematika, fyzika, chemie, biologie a informatika) poskytována od roku 2021 skrze ukazatel P.</t>
  </si>
  <si>
    <t>Rozpis rozpočtu vysokých škol na rok 2023</t>
  </si>
  <si>
    <t>Bilance zdrojů pro rozdělení příspěvku a dotací vysokým školám v roce 2023</t>
  </si>
  <si>
    <t>Rozpočet 2023</t>
  </si>
  <si>
    <t>Podpora - růst cen energií</t>
  </si>
  <si>
    <t>Výše výkonové části pro rok 2023</t>
  </si>
  <si>
    <t>Podíl segmentu v roce 2022</t>
  </si>
  <si>
    <t>Vyčleněná částka na lékařské fakulty pro rok 2023</t>
  </si>
  <si>
    <t>Vyčleněná částka na pedagogické fakulty pro rok 2023</t>
  </si>
  <si>
    <t>Výkonová část RO I - 2023 - Segment 1</t>
  </si>
  <si>
    <t>Janáčkova akademie múzických umění v Brně</t>
  </si>
  <si>
    <t>Výkonová část RO I - 2023 - Segment 2</t>
  </si>
  <si>
    <t>Výkonová část RO I - 2023 - Segment 3</t>
  </si>
  <si>
    <t>Výkonová část RO I - 2023 - Segment 4</t>
  </si>
  <si>
    <t xml:space="preserve">                 v tom dlouhodobá podpora VETUNI</t>
  </si>
  <si>
    <t>VETUNI</t>
  </si>
  <si>
    <t>Rozpočtový okruh I, institucionální část rozpočtu - celkový výpočet na rok 2023</t>
  </si>
  <si>
    <t>Výše mzd. prostředků AP za rok 2021 z kap. 333 v tis. Kč</t>
  </si>
  <si>
    <t>Průměrná mzda akadem. pracovníka za rok 2021 z kap. 333</t>
  </si>
  <si>
    <t>Rok 2022</t>
  </si>
  <si>
    <t>Přepočtený počet studií k 31. 10. 2022</t>
  </si>
  <si>
    <t>Počet rozpočtových absolventů za období 1. 11. 2021 - 31. 10. 2022</t>
  </si>
  <si>
    <t>Vyčleněná částka na pedagogické studijní programy pro rok 2023</t>
  </si>
  <si>
    <t>Přepočtená studia k 31. 10. 2022</t>
  </si>
  <si>
    <t>Rozpočtoví absolventi za období 1. 11. 2021 - 31. 10. 2022</t>
  </si>
  <si>
    <t>Vyčleněná částka na pedagogické studijní programy s deficitními aprobacemi pro rok 2023</t>
  </si>
  <si>
    <t>Zdroj dat: vyžádané informace od VVŠ</t>
  </si>
  <si>
    <t>Stipendia pro studenty doktorských studijních programů v roce 2023</t>
  </si>
  <si>
    <t>Zdrojem dat o studentech s nárokem na doktorské stipendium je SIMS k 31. 10. 2022</t>
  </si>
  <si>
    <t xml:space="preserve"> Dotace na ubytování a stravování studentů v roce 2023</t>
  </si>
  <si>
    <t>Částka v rozpisu rozpočtu na rok 2023</t>
  </si>
  <si>
    <t>Ubytovací stipendium v roce 2023</t>
  </si>
  <si>
    <t>Zdrojem počtu studentů s nárokem na ubytovací stipendium je SIMS k 31. 10. 2022</t>
  </si>
  <si>
    <t>Program na podporu strategického řízení VŠ pro rok 2023</t>
  </si>
  <si>
    <t>Fond umělecké činnosti pro rok 2023</t>
  </si>
  <si>
    <t>Částka vyčleněná  na ukazatel FUČ pro rok 2023</t>
  </si>
  <si>
    <t>Podpora financování nákladů souvisejících se vzděláváním seniorů prostřednictvím tzv. Univerzit třetího věku v roce 2023</t>
  </si>
  <si>
    <t>Podpora financování zvýšených nákladů souvisejících se studiem studentů se specifickými potřebami v roce 2023</t>
  </si>
  <si>
    <t>Vychází z výše minimální mzdy od roku 2023</t>
  </si>
  <si>
    <t>Přepočtený počet akad. pracovníků hrazených z kap. 333 za rok 2021</t>
  </si>
  <si>
    <t xml:space="preserve">Zdrojem dat je statistický výstup MŠMT P1b-04 za rok 2021 a výstupy ze SIMS k 31. 10. </t>
  </si>
  <si>
    <r>
      <rPr>
        <b/>
        <sz val="10"/>
        <color indexed="8"/>
        <rFont val="Calibri"/>
        <family val="2"/>
        <charset val="238"/>
      </rPr>
      <t>V roce 2022</t>
    </r>
    <r>
      <rPr>
        <sz val="10"/>
        <color indexed="8"/>
        <rFont val="Calibri"/>
        <family val="2"/>
        <charset val="238"/>
      </rPr>
      <t xml:space="preserve"> byly uplatněné </t>
    </r>
    <r>
      <rPr>
        <b/>
        <sz val="10"/>
        <color indexed="8"/>
        <rFont val="Calibri"/>
        <family val="2"/>
        <charset val="238"/>
      </rPr>
      <t xml:space="preserve">nároky vykryty ve výši </t>
    </r>
  </si>
  <si>
    <t>Příspěvek na studium SSP</t>
  </si>
  <si>
    <t>Příspěvek na U3V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</si>
</sst>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0\ &quot;Kč&quot;;[Red]\-#,##0\ &quot;Kč&quot;"/>
    <numFmt numFmtId="8" formatCode="#,##0.00\ &quot;Kč&quot;;[Red]\-#,##0.00\ &quot;Kč&quot;"/>
    <numFmt numFmtId="164" formatCode="_-* #,##0.00\ _K_č_-;\-* #,##0.00\ _K_č_-;_-* &quot;-&quot;??\ _K_č_-;_-@_-"/>
    <numFmt numFmtId="165" formatCode="0.000%"/>
    <numFmt numFmtId="166" formatCode="0.0%"/>
    <numFmt numFmtId="167" formatCode="#,##0\ &quot;Kč&quot;"/>
    <numFmt numFmtId="168" formatCode="#,##0.00\ &quot;Kč&quot;"/>
    <numFmt numFmtId="169" formatCode="0.0"/>
    <numFmt numFmtId="170" formatCode="#,##0.00_ ;[Red]\-#,##0.00\ "/>
    <numFmt numFmtId="171" formatCode="_-* #,##0\ [$Kč-405]_-;\-* #,##0\ [$Kč-405]_-;_-* &quot;-&quot;??\ [$Kč-405]_-;_-@_-"/>
    <numFmt numFmtId="172" formatCode="#,##0.000"/>
    <numFmt numFmtId="173" formatCode="#,##0.0000000000000"/>
    <numFmt numFmtId="174" formatCode="0.00000000000"/>
    <numFmt numFmtId="175" formatCode="0.0000000"/>
  </numFmts>
  <fonts count="63" x14ac:knownFonts="1">
    <font>
      <sz val="11"/>
      <color theme="1"/>
      <name val="Calibri"/>
      <family val="2"/>
      <charset val="238"/>
      <scheme val="minor"/>
    </font>
    <font>
      <sz val="11"/>
      <color theme="1"/>
      <name val="Calibri"/>
      <family val="2"/>
      <charset val="238"/>
      <scheme val="minor"/>
    </font>
    <font>
      <b/>
      <sz val="18"/>
      <name val="Arial"/>
      <family val="2"/>
      <charset val="238"/>
    </font>
    <font>
      <b/>
      <sz val="22"/>
      <name val="Arial"/>
      <family val="2"/>
      <charset val="238"/>
    </font>
    <font>
      <sz val="10"/>
      <name val="Arial"/>
      <family val="2"/>
      <charset val="238"/>
    </font>
    <font>
      <b/>
      <sz val="11"/>
      <name val="Arial"/>
      <family val="2"/>
      <charset val="238"/>
    </font>
    <font>
      <sz val="11"/>
      <name val="Arial"/>
      <family val="2"/>
      <charset val="238"/>
    </font>
    <font>
      <b/>
      <sz val="11"/>
      <color theme="1"/>
      <name val="Arial"/>
      <family val="2"/>
      <charset val="238"/>
    </font>
    <font>
      <sz val="11"/>
      <color theme="1"/>
      <name val="Arial"/>
      <family val="2"/>
      <charset val="238"/>
    </font>
    <font>
      <b/>
      <sz val="22"/>
      <name val="Calibri"/>
      <family val="2"/>
      <charset val="238"/>
      <scheme val="minor"/>
    </font>
    <font>
      <sz val="13.5"/>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Times New Roman CE"/>
      <charset val="238"/>
    </font>
    <font>
      <b/>
      <sz val="12"/>
      <name val="Arial"/>
      <family val="2"/>
      <charset val="238"/>
    </font>
    <font>
      <sz val="12"/>
      <name val="Arial"/>
      <family val="2"/>
      <charset val="238"/>
    </font>
    <font>
      <sz val="10"/>
      <name val="Arial CE"/>
      <charset val="238"/>
    </font>
    <font>
      <i/>
      <sz val="11"/>
      <name val="Arial"/>
      <family val="2"/>
      <charset val="238"/>
    </font>
    <font>
      <b/>
      <i/>
      <sz val="11"/>
      <color rgb="FF808080"/>
      <name val="Arial"/>
      <family val="2"/>
      <charset val="238"/>
    </font>
    <font>
      <i/>
      <sz val="11"/>
      <color indexed="23"/>
      <name val="Arial"/>
      <family val="2"/>
      <charset val="238"/>
    </font>
    <font>
      <b/>
      <i/>
      <sz val="11"/>
      <name val="Arial"/>
      <family val="2"/>
      <charset val="238"/>
    </font>
    <font>
      <i/>
      <sz val="11"/>
      <color rgb="FF808080"/>
      <name val="Arial"/>
      <family val="2"/>
      <charset val="238"/>
    </font>
    <font>
      <i/>
      <sz val="11"/>
      <color rgb="FFFF0000"/>
      <name val="Arial"/>
      <family val="2"/>
      <charset val="238"/>
    </font>
    <font>
      <b/>
      <i/>
      <sz val="12"/>
      <name val="Arial"/>
      <family val="2"/>
      <charset val="238"/>
    </font>
    <font>
      <i/>
      <sz val="11"/>
      <color theme="1"/>
      <name val="Arial"/>
      <family val="2"/>
      <charset val="238"/>
    </font>
    <font>
      <i/>
      <sz val="12"/>
      <name val="Arial"/>
      <family val="2"/>
      <charset val="238"/>
    </font>
    <font>
      <i/>
      <sz val="12"/>
      <color rgb="FF808080"/>
      <name val="Arial"/>
      <family val="2"/>
      <charset val="238"/>
    </font>
    <font>
      <b/>
      <i/>
      <sz val="12"/>
      <color rgb="FF808080"/>
      <name val="Arial"/>
      <family val="2"/>
      <charset val="238"/>
    </font>
    <font>
      <b/>
      <i/>
      <sz val="12"/>
      <color theme="1"/>
      <name val="Arial"/>
      <family val="2"/>
      <charset val="238"/>
    </font>
    <font>
      <sz val="11"/>
      <color rgb="FFFF0000"/>
      <name val="Arial"/>
      <family val="2"/>
      <charset val="238"/>
    </font>
    <font>
      <i/>
      <sz val="10"/>
      <name val="Arial"/>
      <family val="2"/>
      <charset val="238"/>
    </font>
    <font>
      <i/>
      <sz val="11"/>
      <color theme="0"/>
      <name val="Arial"/>
      <family val="2"/>
      <charset val="238"/>
    </font>
    <font>
      <sz val="11"/>
      <color theme="0"/>
      <name val="Arial"/>
      <family val="2"/>
      <charset val="238"/>
    </font>
    <font>
      <b/>
      <sz val="12"/>
      <color theme="1"/>
      <name val="Arial"/>
      <family val="2"/>
      <charset val="238"/>
    </font>
    <font>
      <vertAlign val="superscript"/>
      <sz val="11"/>
      <name val="Arial"/>
      <family val="2"/>
      <charset val="238"/>
    </font>
    <font>
      <b/>
      <sz val="15"/>
      <name val="Arial"/>
      <family val="2"/>
      <charset val="238"/>
    </font>
    <font>
      <b/>
      <sz val="16"/>
      <name val="Arial"/>
      <family val="2"/>
      <charset val="238"/>
    </font>
    <font>
      <b/>
      <sz val="20"/>
      <name val="Arial"/>
      <family val="2"/>
      <charset val="238"/>
    </font>
    <font>
      <sz val="10"/>
      <color theme="1"/>
      <name val="Arial"/>
      <family val="2"/>
      <charset val="238"/>
    </font>
    <font>
      <b/>
      <sz val="22"/>
      <color indexed="8"/>
      <name val="Arial"/>
      <family val="2"/>
      <charset val="238"/>
    </font>
    <font>
      <b/>
      <sz val="18"/>
      <color indexed="8"/>
      <name val="Arial"/>
      <family val="2"/>
      <charset val="238"/>
    </font>
    <font>
      <b/>
      <sz val="16"/>
      <color indexed="8"/>
      <name val="Arial"/>
      <family val="2"/>
      <charset val="238"/>
    </font>
    <font>
      <b/>
      <sz val="15"/>
      <color indexed="8"/>
      <name val="Arial"/>
      <family val="2"/>
      <charset val="238"/>
    </font>
    <font>
      <b/>
      <sz val="10"/>
      <color rgb="FFFF0000"/>
      <name val="Arial"/>
      <family val="2"/>
      <charset val="238"/>
    </font>
    <font>
      <b/>
      <sz val="10"/>
      <name val="Arial"/>
      <family val="2"/>
      <charset val="238"/>
    </font>
    <font>
      <sz val="11"/>
      <name val="Times New Roman CE"/>
      <family val="1"/>
      <charset val="238"/>
    </font>
    <font>
      <b/>
      <sz val="22"/>
      <color theme="1"/>
      <name val="Arial"/>
      <family val="2"/>
      <charset val="238"/>
    </font>
    <font>
      <b/>
      <sz val="16"/>
      <color theme="1"/>
      <name val="Arial"/>
      <family val="2"/>
      <charset val="238"/>
    </font>
    <font>
      <sz val="11"/>
      <color indexed="8"/>
      <name val="Arial"/>
      <family val="2"/>
      <charset val="238"/>
    </font>
    <font>
      <b/>
      <sz val="22"/>
      <color rgb="FFFF0000"/>
      <name val="Arial"/>
      <family val="2"/>
      <charset val="238"/>
    </font>
    <font>
      <b/>
      <sz val="10"/>
      <color theme="1"/>
      <name val="Arial"/>
      <family val="2"/>
      <charset val="238"/>
    </font>
    <font>
      <b/>
      <sz val="11"/>
      <color indexed="8"/>
      <name val="Arial"/>
      <family val="2"/>
      <charset val="238"/>
    </font>
    <font>
      <sz val="10"/>
      <color theme="1"/>
      <name val="Calibri"/>
      <family val="2"/>
      <charset val="238"/>
      <scheme val="minor"/>
    </font>
    <font>
      <b/>
      <sz val="10"/>
      <color theme="1"/>
      <name val="Calibri"/>
      <family val="2"/>
      <charset val="238"/>
      <scheme val="minor"/>
    </font>
    <font>
      <u/>
      <sz val="10"/>
      <name val="Arial"/>
      <family val="2"/>
      <charset val="238"/>
    </font>
    <font>
      <b/>
      <vertAlign val="superscript"/>
      <sz val="11"/>
      <name val="Arial"/>
      <family val="2"/>
      <charset val="238"/>
    </font>
    <font>
      <i/>
      <vertAlign val="superscript"/>
      <sz val="11"/>
      <name val="Arial"/>
      <family val="2"/>
      <charset val="238"/>
    </font>
    <font>
      <sz val="22"/>
      <name val="Arial"/>
      <family val="2"/>
      <charset val="238"/>
    </font>
    <font>
      <u/>
      <sz val="11"/>
      <name val="Arial"/>
      <family val="2"/>
      <charset val="238"/>
    </font>
    <font>
      <b/>
      <sz val="10"/>
      <color indexed="8"/>
      <name val="Calibri"/>
      <family val="2"/>
      <charset val="238"/>
    </font>
    <font>
      <sz val="10"/>
      <color indexed="8"/>
      <name val="Calibri"/>
      <family val="2"/>
      <charset val="238"/>
    </font>
    <font>
      <vertAlign val="superscript"/>
      <sz val="14"/>
      <name val="Arial"/>
      <family val="2"/>
      <charset val="238"/>
    </font>
    <font>
      <sz val="11"/>
      <name val="Calibri"/>
      <family val="2"/>
      <charset val="238"/>
      <scheme val="minor"/>
    </font>
  </fonts>
  <fills count="15">
    <fill>
      <patternFill patternType="none"/>
    </fill>
    <fill>
      <patternFill patternType="gray125"/>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A9D08E"/>
        <bgColor indexed="64"/>
      </patternFill>
    </fill>
    <fill>
      <patternFill patternType="solid">
        <fgColor rgb="FFFFD966"/>
        <bgColor indexed="64"/>
      </patternFill>
    </fill>
    <fill>
      <patternFill patternType="solid">
        <fgColor rgb="FFF4B084"/>
        <bgColor indexed="64"/>
      </patternFill>
    </fill>
    <fill>
      <patternFill patternType="solid">
        <fgColor rgb="FF9BC2E6"/>
        <bgColor indexed="64"/>
      </patternFill>
    </fill>
  </fills>
  <borders count="119">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theme="9" tint="-0.499984740745262"/>
      </right>
      <top style="medium">
        <color indexed="64"/>
      </top>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thin">
        <color indexed="64"/>
      </right>
      <top style="medium">
        <color indexed="64"/>
      </top>
      <bottom/>
      <diagonal/>
    </border>
    <border>
      <left style="medium">
        <color indexed="64"/>
      </left>
      <right style="medium">
        <color theme="1"/>
      </right>
      <top style="medium">
        <color theme="9" tint="-0.499984740745262"/>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theme="9" tint="-0.499984740745262"/>
      </right>
      <top/>
      <bottom/>
      <diagonal/>
    </border>
    <border>
      <left style="medium">
        <color theme="9" tint="-0.499984740745262"/>
      </left>
      <right style="medium">
        <color theme="9" tint="-0.499984740745262"/>
      </right>
      <top/>
      <bottom/>
      <diagonal/>
    </border>
    <border>
      <left style="medium">
        <color theme="9" tint="-0.499984740745262"/>
      </left>
      <right style="thin">
        <color indexed="64"/>
      </right>
      <top/>
      <bottom/>
      <diagonal/>
    </border>
    <border>
      <left style="medium">
        <color indexed="64"/>
      </left>
      <right style="medium">
        <color theme="1"/>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theme="9" tint="-0.499984740745262"/>
      </right>
      <top/>
      <bottom style="medium">
        <color indexed="64"/>
      </bottom>
      <diagonal/>
    </border>
    <border>
      <left style="medium">
        <color theme="9" tint="-0.499984740745262"/>
      </left>
      <right style="medium">
        <color theme="9" tint="-0.499984740745262"/>
      </right>
      <top/>
      <bottom style="medium">
        <color indexed="64"/>
      </bottom>
      <diagonal/>
    </border>
    <border>
      <left style="medium">
        <color theme="9" tint="-0.499984740745262"/>
      </left>
      <right style="thin">
        <color indexed="64"/>
      </right>
      <top/>
      <bottom style="medium">
        <color indexed="64"/>
      </bottom>
      <diagonal/>
    </border>
    <border>
      <left style="medium">
        <color indexed="64"/>
      </left>
      <right style="medium">
        <color theme="1"/>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theme="9" tint="-0.499984740745262"/>
      </left>
      <right style="medium">
        <color theme="9" tint="-0.499984740745262"/>
      </right>
      <top style="medium">
        <color indexed="64"/>
      </top>
      <bottom/>
      <diagonal/>
    </border>
    <border>
      <left style="medium">
        <color indexed="64"/>
      </left>
      <right style="medium">
        <color theme="1"/>
      </right>
      <top style="medium">
        <color indexed="64"/>
      </top>
      <bottom/>
      <diagonal/>
    </border>
    <border>
      <left/>
      <right/>
      <top style="thin">
        <color indexed="64"/>
      </top>
      <bottom/>
      <diagonal/>
    </border>
    <border>
      <left style="medium">
        <color theme="9" tint="-0.499984740745262"/>
      </left>
      <right style="medium">
        <color theme="9" tint="-0.499984740745262"/>
      </right>
      <top style="thin">
        <color indexed="64"/>
      </top>
      <bottom/>
      <diagonal/>
    </border>
    <border>
      <left style="medium">
        <color indexed="64"/>
      </left>
      <right style="medium">
        <color theme="1"/>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9" tint="-0.499984740745262"/>
      </left>
      <right style="medium">
        <color theme="9" tint="-0.499984740745262"/>
      </right>
      <top style="thin">
        <color indexed="64"/>
      </top>
      <bottom style="medium">
        <color indexed="64"/>
      </bottom>
      <diagonal/>
    </border>
    <border>
      <left style="medium">
        <color indexed="64"/>
      </left>
      <right style="medium">
        <color theme="1"/>
      </right>
      <top style="thin">
        <color indexed="64"/>
      </top>
      <bottom style="medium">
        <color indexed="64"/>
      </bottom>
      <diagonal/>
    </border>
    <border>
      <left style="medium">
        <color theme="9" tint="-0.499984740745262"/>
      </left>
      <right style="medium">
        <color theme="9" tint="-0.499984740745262"/>
      </right>
      <top style="thin">
        <color indexed="64"/>
      </top>
      <bottom style="thin">
        <color indexed="64"/>
      </bottom>
      <diagonal/>
    </border>
    <border>
      <left style="medium">
        <color indexed="64"/>
      </left>
      <right style="medium">
        <color theme="1"/>
      </right>
      <top style="thin">
        <color indexed="64"/>
      </top>
      <bottom style="thin">
        <color indexed="64"/>
      </bottom>
      <diagonal/>
    </border>
    <border>
      <left style="medium">
        <color theme="9" tint="-0.499984740745262"/>
      </left>
      <right style="medium">
        <color theme="9" tint="-0.499984740745262"/>
      </right>
      <top/>
      <bottom style="thin">
        <color indexed="64"/>
      </bottom>
      <diagonal/>
    </border>
    <border>
      <left style="medium">
        <color indexed="64"/>
      </left>
      <right style="medium">
        <color theme="1"/>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theme="9" tint="-0.499984740745262"/>
      </left>
      <right style="medium">
        <color theme="9" tint="-0.499984740745262"/>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indexed="64"/>
      </bottom>
      <diagonal/>
    </border>
    <border>
      <left style="medium">
        <color theme="9" tint="-0.499984740745262"/>
      </left>
      <right style="medium">
        <color theme="9" tint="-0.499984740745262"/>
      </right>
      <top style="medium">
        <color indexed="64"/>
      </top>
      <bottom style="thin">
        <color indexed="64"/>
      </bottom>
      <diagonal/>
    </border>
    <border>
      <left style="medium">
        <color indexed="64"/>
      </left>
      <right style="medium">
        <color theme="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s>
  <cellStyleXfs count="14">
    <xf numFmtId="0" fontId="0" fillId="0" borderId="0"/>
    <xf numFmtId="9" fontId="1" fillId="0" borderId="0" applyFont="0" applyFill="0" applyBorder="0" applyAlignment="0" applyProtection="0"/>
    <xf numFmtId="0" fontId="2" fillId="0" borderId="0" applyFont="0"/>
    <xf numFmtId="0" fontId="4" fillId="0" borderId="0"/>
    <xf numFmtId="0" fontId="4" fillId="0" borderId="0"/>
    <xf numFmtId="0" fontId="1" fillId="0" borderId="0"/>
    <xf numFmtId="0" fontId="4" fillId="0" borderId="0"/>
    <xf numFmtId="9" fontId="1" fillId="0" borderId="0" applyFont="0" applyFill="0" applyBorder="0" applyAlignment="0" applyProtection="0"/>
    <xf numFmtId="0" fontId="1" fillId="0" borderId="0"/>
    <xf numFmtId="0" fontId="11" fillId="0" borderId="0" applyNumberFormat="0" applyFill="0" applyBorder="0" applyAlignment="0" applyProtection="0"/>
    <xf numFmtId="0" fontId="13" fillId="0" borderId="0"/>
    <xf numFmtId="0" fontId="16" fillId="0" borderId="0"/>
    <xf numFmtId="0" fontId="45" fillId="0" borderId="0"/>
    <xf numFmtId="164" fontId="1" fillId="0" borderId="0" applyFont="0" applyFill="0" applyBorder="0" applyAlignment="0" applyProtection="0"/>
  </cellStyleXfs>
  <cellXfs count="1129">
    <xf numFmtId="0" fontId="0" fillId="0" borderId="0" xfId="0"/>
    <xf numFmtId="3" fontId="8" fillId="0" borderId="17" xfId="8" applyNumberFormat="1" applyFont="1" applyBorder="1" applyAlignment="1">
      <alignment horizontal="right" vertical="center" indent="1"/>
    </xf>
    <xf numFmtId="3" fontId="8" fillId="0" borderId="18" xfId="8" applyNumberFormat="1" applyFont="1" applyBorder="1" applyAlignment="1">
      <alignment horizontal="right" vertical="center" indent="1"/>
    </xf>
    <xf numFmtId="10" fontId="6" fillId="0" borderId="20" xfId="7" applyNumberFormat="1" applyFont="1" applyFill="1" applyBorder="1" applyAlignment="1">
      <alignment horizontal="right" vertical="center" indent="1"/>
    </xf>
    <xf numFmtId="3" fontId="8" fillId="0" borderId="14" xfId="8" applyNumberFormat="1" applyFont="1" applyBorder="1" applyAlignment="1">
      <alignment horizontal="right" vertical="center" indent="1"/>
    </xf>
    <xf numFmtId="3" fontId="8" fillId="0" borderId="21" xfId="8" applyNumberFormat="1" applyFont="1" applyBorder="1" applyAlignment="1">
      <alignment horizontal="right" vertical="center" indent="1"/>
    </xf>
    <xf numFmtId="3" fontId="8" fillId="0" borderId="34" xfId="8" applyNumberFormat="1" applyFont="1" applyBorder="1" applyAlignment="1">
      <alignment horizontal="right" vertical="center" indent="1"/>
    </xf>
    <xf numFmtId="3" fontId="8" fillId="0" borderId="35" xfId="8" applyNumberFormat="1" applyFont="1" applyBorder="1" applyAlignment="1">
      <alignment horizontal="right" vertical="center" indent="1"/>
    </xf>
    <xf numFmtId="10" fontId="7" fillId="0" borderId="1" xfId="8" applyNumberFormat="1" applyFont="1" applyBorder="1" applyAlignment="1">
      <alignment horizontal="right" vertical="center" indent="1"/>
    </xf>
    <xf numFmtId="3" fontId="7" fillId="0" borderId="2" xfId="8" applyNumberFormat="1" applyFont="1" applyBorder="1" applyAlignment="1">
      <alignment horizontal="right" vertical="center" indent="1"/>
    </xf>
    <xf numFmtId="3" fontId="7" fillId="0" borderId="3" xfId="8" applyNumberFormat="1" applyFont="1" applyBorder="1" applyAlignment="1">
      <alignment horizontal="right" vertical="center" indent="1"/>
    </xf>
    <xf numFmtId="3" fontId="0" fillId="0" borderId="0" xfId="0" applyNumberFormat="1"/>
    <xf numFmtId="0" fontId="3" fillId="0" borderId="0" xfId="8" applyFont="1"/>
    <xf numFmtId="0" fontId="8" fillId="0" borderId="0" xfId="8" applyFont="1"/>
    <xf numFmtId="0" fontId="9" fillId="0" borderId="0" xfId="8" applyFont="1"/>
    <xf numFmtId="0" fontId="1" fillId="0" borderId="0" xfId="8"/>
    <xf numFmtId="0" fontId="7" fillId="0" borderId="0" xfId="8" applyFont="1"/>
    <xf numFmtId="3" fontId="7" fillId="0" borderId="0" xfId="8" applyNumberFormat="1" applyFont="1"/>
    <xf numFmtId="0" fontId="1" fillId="0" borderId="0" xfId="8" applyAlignment="1">
      <alignment horizontal="right"/>
    </xf>
    <xf numFmtId="3" fontId="8" fillId="0" borderId="19" xfId="8" applyNumberFormat="1" applyFont="1" applyBorder="1" applyAlignment="1">
      <alignment horizontal="right" vertical="center" indent="1"/>
    </xf>
    <xf numFmtId="10" fontId="6" fillId="0" borderId="16" xfId="7" applyNumberFormat="1" applyFont="1" applyFill="1" applyBorder="1" applyAlignment="1">
      <alignment horizontal="right" vertical="center" indent="1"/>
    </xf>
    <xf numFmtId="3" fontId="8" fillId="0" borderId="37" xfId="8" applyNumberFormat="1" applyFont="1" applyBorder="1" applyAlignment="1">
      <alignment horizontal="right" vertical="center" indent="1"/>
    </xf>
    <xf numFmtId="3" fontId="7" fillId="0" borderId="4" xfId="8" applyNumberFormat="1" applyFont="1" applyBorder="1" applyAlignment="1">
      <alignment horizontal="right" vertical="center" indent="1"/>
    </xf>
    <xf numFmtId="10" fontId="7" fillId="0" borderId="41" xfId="8" applyNumberFormat="1" applyFont="1" applyBorder="1" applyAlignment="1">
      <alignment horizontal="right" vertical="center" indent="1"/>
    </xf>
    <xf numFmtId="0" fontId="10" fillId="0" borderId="0" xfId="8" applyFont="1"/>
    <xf numFmtId="3" fontId="1" fillId="0" borderId="0" xfId="8" applyNumberFormat="1"/>
    <xf numFmtId="165" fontId="7" fillId="0" borderId="0" xfId="1" applyNumberFormat="1" applyFont="1"/>
    <xf numFmtId="165" fontId="7" fillId="0" borderId="0" xfId="1" applyNumberFormat="1" applyFont="1" applyBorder="1"/>
    <xf numFmtId="0" fontId="8" fillId="0" borderId="20" xfId="8" applyFont="1" applyBorder="1" applyAlignment="1">
      <alignment horizontal="center" vertical="center"/>
    </xf>
    <xf numFmtId="0" fontId="8" fillId="0" borderId="43" xfId="8" applyFont="1" applyBorder="1" applyAlignment="1">
      <alignment horizontal="center" vertical="center"/>
    </xf>
    <xf numFmtId="10" fontId="6" fillId="0" borderId="44" xfId="7" applyNumberFormat="1" applyFont="1" applyFill="1" applyBorder="1" applyAlignment="1">
      <alignment horizontal="right" vertical="center" indent="1"/>
    </xf>
    <xf numFmtId="0" fontId="8" fillId="0" borderId="12" xfId="5" applyFont="1" applyBorder="1" applyAlignment="1">
      <alignment horizontal="left" vertical="center" wrapText="1" indent="1"/>
    </xf>
    <xf numFmtId="0" fontId="8" fillId="0" borderId="19" xfId="5" applyFont="1" applyBorder="1" applyAlignment="1">
      <alignment horizontal="left" vertical="center" wrapText="1" indent="1"/>
    </xf>
    <xf numFmtId="10" fontId="8" fillId="0" borderId="43" xfId="8" applyNumberFormat="1" applyFont="1" applyBorder="1" applyAlignment="1">
      <alignment horizontal="right" vertical="center" indent="1"/>
    </xf>
    <xf numFmtId="10" fontId="8" fillId="0" borderId="20" xfId="8" applyNumberFormat="1" applyFont="1" applyBorder="1" applyAlignment="1">
      <alignment horizontal="right" vertical="center" indent="1"/>
    </xf>
    <xf numFmtId="0" fontId="8" fillId="0" borderId="33" xfId="8" applyFont="1" applyBorder="1" applyAlignment="1">
      <alignment horizontal="center" vertical="center"/>
    </xf>
    <xf numFmtId="0" fontId="8" fillId="0" borderId="37" xfId="5" applyFont="1" applyBorder="1" applyAlignment="1">
      <alignment horizontal="left" vertical="center" wrapText="1" indent="1"/>
    </xf>
    <xf numFmtId="10" fontId="6" fillId="0" borderId="36" xfId="7" applyNumberFormat="1" applyFont="1" applyFill="1" applyBorder="1" applyAlignment="1">
      <alignment horizontal="right" vertical="center" indent="1"/>
    </xf>
    <xf numFmtId="0" fontId="11" fillId="0" borderId="0" xfId="9"/>
    <xf numFmtId="0" fontId="0" fillId="0" borderId="0" xfId="0" applyAlignment="1">
      <alignment horizontal="right"/>
    </xf>
    <xf numFmtId="0" fontId="5" fillId="6" borderId="0" xfId="10" applyFont="1" applyFill="1" applyAlignment="1">
      <alignment horizontal="left" vertical="center"/>
    </xf>
    <xf numFmtId="0" fontId="5" fillId="6" borderId="0" xfId="10" applyFont="1" applyFill="1" applyAlignment="1">
      <alignment vertical="center"/>
    </xf>
    <xf numFmtId="0" fontId="6" fillId="6" borderId="0" xfId="10" applyFont="1" applyFill="1" applyAlignment="1">
      <alignment vertical="center"/>
    </xf>
    <xf numFmtId="166" fontId="6" fillId="6" borderId="0" xfId="10" applyNumberFormat="1" applyFont="1" applyFill="1" applyAlignment="1">
      <alignment horizontal="right" vertical="center"/>
    </xf>
    <xf numFmtId="166" fontId="6" fillId="6" borderId="0" xfId="10" applyNumberFormat="1" applyFont="1" applyFill="1" applyAlignment="1">
      <alignment vertical="center"/>
    </xf>
    <xf numFmtId="0" fontId="6" fillId="6" borderId="0" xfId="10" applyFont="1" applyFill="1" applyAlignment="1">
      <alignment horizontal="right" vertical="center"/>
    </xf>
    <xf numFmtId="0" fontId="0" fillId="6" borderId="0" xfId="0" applyFill="1"/>
    <xf numFmtId="0" fontId="14" fillId="6" borderId="2" xfId="10" applyFont="1" applyFill="1" applyBorder="1" applyAlignment="1">
      <alignment horizontal="center" vertical="center" wrapText="1"/>
    </xf>
    <xf numFmtId="0" fontId="14" fillId="6" borderId="3" xfId="10" applyFont="1" applyFill="1" applyBorder="1" applyAlignment="1">
      <alignment horizontal="center" vertical="center" wrapText="1"/>
    </xf>
    <xf numFmtId="0" fontId="14" fillId="0" borderId="2" xfId="10" applyFont="1" applyBorder="1" applyAlignment="1">
      <alignment horizontal="center" vertical="center" wrapText="1"/>
    </xf>
    <xf numFmtId="0" fontId="14" fillId="7" borderId="2" xfId="10" applyFont="1" applyFill="1" applyBorder="1" applyAlignment="1">
      <alignment horizontal="center" vertical="center" wrapText="1"/>
    </xf>
    <xf numFmtId="0" fontId="15" fillId="6" borderId="6" xfId="10" applyFont="1" applyFill="1" applyBorder="1" applyAlignment="1">
      <alignment horizontal="center" vertical="center" wrapText="1"/>
    </xf>
    <xf numFmtId="3" fontId="5" fillId="6" borderId="10" xfId="10" applyNumberFormat="1" applyFont="1" applyFill="1" applyBorder="1" applyAlignment="1">
      <alignment horizontal="center" vertical="center" wrapText="1"/>
    </xf>
    <xf numFmtId="3" fontId="5" fillId="6" borderId="11" xfId="10" applyNumberFormat="1" applyFont="1" applyFill="1" applyBorder="1" applyAlignment="1">
      <alignment horizontal="center" vertical="center" wrapText="1"/>
    </xf>
    <xf numFmtId="3" fontId="5" fillId="0" borderId="10" xfId="10" applyNumberFormat="1" applyFont="1" applyBorder="1" applyAlignment="1">
      <alignment horizontal="center" vertical="center"/>
    </xf>
    <xf numFmtId="6" fontId="5" fillId="6" borderId="14" xfId="10" applyNumberFormat="1" applyFont="1" applyFill="1" applyBorder="1" applyAlignment="1">
      <alignment horizontal="center" vertical="center"/>
    </xf>
    <xf numFmtId="167" fontId="5" fillId="7" borderId="11" xfId="10" applyNumberFormat="1" applyFont="1" applyFill="1" applyBorder="1" applyAlignment="1">
      <alignment horizontal="center" vertical="center"/>
    </xf>
    <xf numFmtId="10" fontId="6" fillId="6" borderId="15" xfId="10" applyNumberFormat="1" applyFont="1" applyFill="1" applyBorder="1" applyAlignment="1">
      <alignment horizontal="center" vertical="center"/>
    </xf>
    <xf numFmtId="3" fontId="5" fillId="6" borderId="18" xfId="10" applyNumberFormat="1" applyFont="1" applyFill="1" applyBorder="1" applyAlignment="1">
      <alignment horizontal="center" vertical="center" wrapText="1"/>
    </xf>
    <xf numFmtId="3" fontId="5" fillId="0" borderId="17" xfId="10" applyNumberFormat="1" applyFont="1" applyBorder="1" applyAlignment="1">
      <alignment horizontal="center" vertical="center"/>
    </xf>
    <xf numFmtId="10" fontId="6" fillId="6" borderId="19" xfId="10" applyNumberFormat="1" applyFont="1" applyFill="1" applyBorder="1" applyAlignment="1">
      <alignment horizontal="center" vertical="center"/>
    </xf>
    <xf numFmtId="167" fontId="5" fillId="7" borderId="21" xfId="10" applyNumberFormat="1" applyFont="1" applyFill="1" applyBorder="1" applyAlignment="1">
      <alignment horizontal="center" vertical="center"/>
    </xf>
    <xf numFmtId="3" fontId="5" fillId="6" borderId="23" xfId="10" applyNumberFormat="1" applyFont="1" applyFill="1" applyBorder="1" applyAlignment="1">
      <alignment horizontal="center" vertical="center" wrapText="1"/>
    </xf>
    <xf numFmtId="3" fontId="5" fillId="6" borderId="24" xfId="10" applyNumberFormat="1" applyFont="1" applyFill="1" applyBorder="1" applyAlignment="1">
      <alignment horizontal="center" vertical="center" wrapText="1"/>
    </xf>
    <xf numFmtId="3" fontId="5" fillId="0" borderId="23" xfId="10" applyNumberFormat="1" applyFont="1" applyBorder="1" applyAlignment="1">
      <alignment horizontal="center" vertical="center"/>
    </xf>
    <xf numFmtId="10" fontId="0" fillId="6" borderId="0" xfId="1" applyNumberFormat="1" applyFont="1" applyFill="1"/>
    <xf numFmtId="8" fontId="5" fillId="6" borderId="23" xfId="10" applyNumberFormat="1" applyFont="1" applyFill="1" applyBorder="1" applyAlignment="1">
      <alignment horizontal="center" vertical="center"/>
    </xf>
    <xf numFmtId="168" fontId="5" fillId="7" borderId="24" xfId="10" applyNumberFormat="1" applyFont="1" applyFill="1" applyBorder="1" applyAlignment="1">
      <alignment horizontal="center" vertical="center"/>
    </xf>
    <xf numFmtId="10" fontId="6" fillId="6" borderId="26" xfId="10" applyNumberFormat="1" applyFont="1" applyFill="1" applyBorder="1" applyAlignment="1">
      <alignment horizontal="center" vertical="center"/>
    </xf>
    <xf numFmtId="0" fontId="5" fillId="6" borderId="0" xfId="10" applyFont="1" applyFill="1" applyAlignment="1">
      <alignment horizontal="left" vertical="center" wrapText="1"/>
    </xf>
    <xf numFmtId="1" fontId="5" fillId="0" borderId="1" xfId="10" applyNumberFormat="1" applyFont="1" applyBorder="1" applyAlignment="1">
      <alignment horizontal="center" vertical="center"/>
    </xf>
    <xf numFmtId="1" fontId="5" fillId="0" borderId="2" xfId="10" applyNumberFormat="1" applyFont="1" applyBorder="1" applyAlignment="1">
      <alignment horizontal="center" vertical="center"/>
    </xf>
    <xf numFmtId="1" fontId="5" fillId="0" borderId="30" xfId="10" applyNumberFormat="1" applyFont="1" applyBorder="1" applyAlignment="1">
      <alignment horizontal="center" vertical="center"/>
    </xf>
    <xf numFmtId="1" fontId="18" fillId="0" borderId="29" xfId="10" applyNumberFormat="1" applyFont="1" applyBorder="1" applyAlignment="1">
      <alignment horizontal="center" vertical="center"/>
    </xf>
    <xf numFmtId="1" fontId="18" fillId="0" borderId="32" xfId="10" applyNumberFormat="1" applyFont="1" applyBorder="1" applyAlignment="1">
      <alignment horizontal="center" vertical="center"/>
    </xf>
    <xf numFmtId="1" fontId="7" fillId="8" borderId="74" xfId="10" applyNumberFormat="1" applyFont="1" applyFill="1" applyBorder="1" applyAlignment="1">
      <alignment horizontal="center" vertical="center"/>
    </xf>
    <xf numFmtId="1" fontId="18" fillId="0" borderId="31" xfId="10" applyNumberFormat="1" applyFont="1" applyBorder="1" applyAlignment="1">
      <alignment horizontal="center" vertical="center"/>
    </xf>
    <xf numFmtId="1" fontId="7" fillId="7" borderId="76" xfId="10" applyNumberFormat="1" applyFont="1" applyFill="1" applyBorder="1" applyAlignment="1">
      <alignment horizontal="center" vertical="center"/>
    </xf>
    <xf numFmtId="0" fontId="17" fillId="6" borderId="64" xfId="10" applyFont="1" applyFill="1" applyBorder="1" applyAlignment="1">
      <alignment vertical="center"/>
    </xf>
    <xf numFmtId="0" fontId="17" fillId="6" borderId="0" xfId="10" applyFont="1" applyFill="1" applyAlignment="1">
      <alignment vertical="center"/>
    </xf>
    <xf numFmtId="0" fontId="20" fillId="6" borderId="0" xfId="10" applyFont="1" applyFill="1" applyAlignment="1">
      <alignment vertical="center"/>
    </xf>
    <xf numFmtId="3" fontId="17" fillId="6" borderId="0" xfId="10" applyNumberFormat="1" applyFont="1" applyFill="1" applyAlignment="1">
      <alignment horizontal="center" vertical="center"/>
    </xf>
    <xf numFmtId="10" fontId="21" fillId="6" borderId="0" xfId="10" applyNumberFormat="1" applyFont="1" applyFill="1" applyAlignment="1">
      <alignment horizontal="center" vertical="center"/>
    </xf>
    <xf numFmtId="0" fontId="21" fillId="6" borderId="0" xfId="10" applyFont="1" applyFill="1" applyAlignment="1">
      <alignment vertical="center"/>
    </xf>
    <xf numFmtId="3" fontId="22" fillId="8" borderId="68" xfId="10" applyNumberFormat="1" applyFont="1" applyFill="1" applyBorder="1" applyAlignment="1">
      <alignment horizontal="center" vertical="center"/>
    </xf>
    <xf numFmtId="0" fontId="21" fillId="6" borderId="78" xfId="10" applyFont="1" applyFill="1" applyBorder="1" applyAlignment="1">
      <alignment vertical="center"/>
    </xf>
    <xf numFmtId="3" fontId="22" fillId="7" borderId="70" xfId="10" applyNumberFormat="1" applyFont="1" applyFill="1" applyBorder="1" applyAlignment="1">
      <alignment horizontal="center" vertical="center"/>
    </xf>
    <xf numFmtId="0" fontId="23" fillId="6" borderId="0" xfId="10" applyFont="1" applyFill="1" applyAlignment="1">
      <alignment vertical="center"/>
    </xf>
    <xf numFmtId="3" fontId="24" fillId="8" borderId="68" xfId="10" applyNumberFormat="1" applyFont="1" applyFill="1" applyBorder="1" applyAlignment="1">
      <alignment horizontal="center" vertical="center"/>
    </xf>
    <xf numFmtId="3" fontId="24" fillId="7" borderId="70" xfId="10" applyNumberFormat="1" applyFont="1" applyFill="1" applyBorder="1" applyAlignment="1">
      <alignment horizontal="center" vertical="center"/>
    </xf>
    <xf numFmtId="0" fontId="17" fillId="6" borderId="13" xfId="10" applyFont="1" applyFill="1" applyBorder="1" applyAlignment="1">
      <alignment vertical="center"/>
    </xf>
    <xf numFmtId="0" fontId="17" fillId="6" borderId="10" xfId="10" applyFont="1" applyFill="1" applyBorder="1" applyAlignment="1">
      <alignment vertical="center"/>
    </xf>
    <xf numFmtId="3" fontId="6" fillId="6" borderId="52" xfId="10" applyNumberFormat="1" applyFont="1" applyFill="1" applyBorder="1" applyAlignment="1">
      <alignment vertical="center"/>
    </xf>
    <xf numFmtId="166" fontId="21" fillId="6" borderId="58" xfId="10" applyNumberFormat="1" applyFont="1" applyFill="1" applyBorder="1" applyAlignment="1">
      <alignment vertical="center"/>
    </xf>
    <xf numFmtId="166" fontId="21" fillId="6" borderId="55" xfId="10" applyNumberFormat="1" applyFont="1" applyFill="1" applyBorder="1" applyAlignment="1">
      <alignment vertical="center"/>
    </xf>
    <xf numFmtId="3" fontId="8" fillId="8" borderId="79" xfId="10" applyNumberFormat="1" applyFont="1" applyFill="1" applyBorder="1" applyAlignment="1">
      <alignment vertical="center"/>
    </xf>
    <xf numFmtId="166" fontId="21" fillId="6" borderId="6" xfId="10" applyNumberFormat="1" applyFont="1" applyFill="1" applyBorder="1" applyAlignment="1">
      <alignment vertical="center"/>
    </xf>
    <xf numFmtId="3" fontId="8" fillId="7" borderId="80" xfId="10" applyNumberFormat="1" applyFont="1" applyFill="1" applyBorder="1" applyAlignment="1">
      <alignment vertical="center"/>
    </xf>
    <xf numFmtId="0" fontId="17" fillId="6" borderId="33" xfId="10" applyFont="1" applyFill="1" applyBorder="1" applyAlignment="1">
      <alignment vertical="center"/>
    </xf>
    <xf numFmtId="0" fontId="17" fillId="6" borderId="34" xfId="10" applyFont="1" applyFill="1" applyBorder="1" applyAlignment="1">
      <alignment vertical="center" wrapText="1"/>
    </xf>
    <xf numFmtId="3" fontId="6" fillId="6" borderId="34" xfId="10" applyNumberFormat="1" applyFont="1" applyFill="1" applyBorder="1" applyAlignment="1">
      <alignment vertical="center"/>
    </xf>
    <xf numFmtId="166" fontId="21" fillId="6" borderId="36" xfId="10" applyNumberFormat="1" applyFont="1" applyFill="1" applyBorder="1" applyAlignment="1">
      <alignment vertical="center"/>
    </xf>
    <xf numFmtId="166" fontId="21" fillId="6" borderId="35" xfId="10" applyNumberFormat="1" applyFont="1" applyFill="1" applyBorder="1" applyAlignment="1">
      <alignment horizontal="right" vertical="center"/>
    </xf>
    <xf numFmtId="3" fontId="8" fillId="8" borderId="82" xfId="10" applyNumberFormat="1" applyFont="1" applyFill="1" applyBorder="1" applyAlignment="1">
      <alignment vertical="center"/>
    </xf>
    <xf numFmtId="166" fontId="21" fillId="6" borderId="37" xfId="10" applyNumberFormat="1" applyFont="1" applyFill="1" applyBorder="1" applyAlignment="1">
      <alignment horizontal="right" vertical="center"/>
    </xf>
    <xf numFmtId="3" fontId="8" fillId="7" borderId="83" xfId="10" applyNumberFormat="1" applyFont="1" applyFill="1" applyBorder="1" applyAlignment="1">
      <alignment vertical="center"/>
    </xf>
    <xf numFmtId="0" fontId="17" fillId="6" borderId="22" xfId="10" applyFont="1" applyFill="1" applyBorder="1" applyAlignment="1">
      <alignment vertical="center"/>
    </xf>
    <xf numFmtId="0" fontId="17" fillId="6" borderId="23" xfId="10" applyFont="1" applyFill="1" applyBorder="1" applyAlignment="1">
      <alignment vertical="center" wrapText="1"/>
    </xf>
    <xf numFmtId="3" fontId="6" fillId="6" borderId="23" xfId="10" applyNumberFormat="1" applyFont="1" applyFill="1" applyBorder="1" applyAlignment="1">
      <alignment vertical="center"/>
    </xf>
    <xf numFmtId="166" fontId="21" fillId="6" borderId="85" xfId="10" applyNumberFormat="1" applyFont="1" applyFill="1" applyBorder="1" applyAlignment="1">
      <alignment vertical="center"/>
    </xf>
    <xf numFmtId="166" fontId="21" fillId="6" borderId="24" xfId="10" applyNumberFormat="1" applyFont="1" applyFill="1" applyBorder="1" applyAlignment="1">
      <alignment horizontal="right" vertical="center"/>
    </xf>
    <xf numFmtId="3" fontId="8" fillId="8" borderId="86" xfId="10" applyNumberFormat="1" applyFont="1" applyFill="1" applyBorder="1" applyAlignment="1">
      <alignment vertical="center"/>
    </xf>
    <xf numFmtId="166" fontId="21" fillId="6" borderId="26" xfId="10" applyNumberFormat="1" applyFont="1" applyFill="1" applyBorder="1" applyAlignment="1">
      <alignment horizontal="right" vertical="center"/>
    </xf>
    <xf numFmtId="3" fontId="8" fillId="7" borderId="87" xfId="10" applyNumberFormat="1" applyFont="1" applyFill="1" applyBorder="1" applyAlignment="1">
      <alignment vertical="center"/>
    </xf>
    <xf numFmtId="0" fontId="25" fillId="6" borderId="38" xfId="10" applyFont="1" applyFill="1" applyBorder="1" applyAlignment="1">
      <alignment vertical="center"/>
    </xf>
    <xf numFmtId="0" fontId="25" fillId="6" borderId="30" xfId="10" applyFont="1" applyFill="1" applyBorder="1" applyAlignment="1">
      <alignment vertical="center" wrapText="1"/>
    </xf>
    <xf numFmtId="3" fontId="23" fillId="6" borderId="30" xfId="10" applyNumberFormat="1" applyFont="1" applyFill="1" applyBorder="1" applyAlignment="1">
      <alignment horizontal="right" vertical="center"/>
    </xf>
    <xf numFmtId="166" fontId="26" fillId="6" borderId="29" xfId="10" applyNumberFormat="1" applyFont="1" applyFill="1" applyBorder="1" applyAlignment="1">
      <alignment horizontal="right" vertical="center"/>
    </xf>
    <xf numFmtId="166" fontId="27" fillId="6" borderId="32" xfId="10" applyNumberFormat="1" applyFont="1" applyFill="1" applyBorder="1" applyAlignment="1">
      <alignment horizontal="right" vertical="center"/>
    </xf>
    <xf numFmtId="3" fontId="28" fillId="8" borderId="74" xfId="10" applyNumberFormat="1" applyFont="1" applyFill="1" applyBorder="1" applyAlignment="1">
      <alignment horizontal="right" vertical="center"/>
    </xf>
    <xf numFmtId="166" fontId="27" fillId="6" borderId="31" xfId="10" applyNumberFormat="1" applyFont="1" applyFill="1" applyBorder="1" applyAlignment="1">
      <alignment horizontal="right" vertical="center"/>
    </xf>
    <xf numFmtId="3" fontId="28" fillId="7" borderId="76" xfId="10" applyNumberFormat="1" applyFont="1" applyFill="1" applyBorder="1" applyAlignment="1">
      <alignment horizontal="right" vertical="center"/>
    </xf>
    <xf numFmtId="3" fontId="17" fillId="6" borderId="0" xfId="10" applyNumberFormat="1" applyFont="1" applyFill="1" applyAlignment="1">
      <alignment horizontal="right" vertical="center"/>
    </xf>
    <xf numFmtId="0" fontId="21" fillId="6" borderId="0" xfId="3" applyFont="1" applyFill="1" applyAlignment="1">
      <alignment horizontal="right"/>
    </xf>
    <xf numFmtId="169" fontId="21" fillId="6" borderId="0" xfId="10" applyNumberFormat="1" applyFont="1" applyFill="1" applyAlignment="1">
      <alignment horizontal="right" vertical="center"/>
    </xf>
    <xf numFmtId="3" fontId="22" fillId="8" borderId="68" xfId="10" applyNumberFormat="1" applyFont="1" applyFill="1" applyBorder="1" applyAlignment="1">
      <alignment horizontal="right" vertical="center"/>
    </xf>
    <xf numFmtId="169" fontId="21" fillId="6" borderId="78" xfId="10" applyNumberFormat="1" applyFont="1" applyFill="1" applyBorder="1" applyAlignment="1">
      <alignment horizontal="right" vertical="center"/>
    </xf>
    <xf numFmtId="3" fontId="22" fillId="7" borderId="70" xfId="10" applyNumberFormat="1" applyFont="1" applyFill="1" applyBorder="1" applyAlignment="1">
      <alignment horizontal="right" vertical="center"/>
    </xf>
    <xf numFmtId="166" fontId="21" fillId="6" borderId="0" xfId="10" applyNumberFormat="1" applyFont="1" applyFill="1" applyAlignment="1">
      <alignment horizontal="right" vertical="center"/>
    </xf>
    <xf numFmtId="166" fontId="21" fillId="6" borderId="78" xfId="10" applyNumberFormat="1" applyFont="1" applyFill="1" applyBorder="1" applyAlignment="1">
      <alignment horizontal="right" vertical="center"/>
    </xf>
    <xf numFmtId="3" fontId="6" fillId="6" borderId="10" xfId="10" applyNumberFormat="1" applyFont="1" applyFill="1" applyBorder="1" applyAlignment="1">
      <alignment horizontal="right" vertical="center"/>
    </xf>
    <xf numFmtId="166" fontId="21" fillId="6" borderId="9" xfId="10" applyNumberFormat="1" applyFont="1" applyFill="1" applyBorder="1" applyAlignment="1">
      <alignment horizontal="right" vertical="center"/>
    </xf>
    <xf numFmtId="166" fontId="21" fillId="6" borderId="11" xfId="10" applyNumberFormat="1" applyFont="1" applyFill="1" applyBorder="1" applyAlignment="1">
      <alignment horizontal="right" vertical="center"/>
    </xf>
    <xf numFmtId="3" fontId="8" fillId="8" borderId="79" xfId="10" applyNumberFormat="1" applyFont="1" applyFill="1" applyBorder="1" applyAlignment="1">
      <alignment horizontal="right" vertical="center"/>
    </xf>
    <xf numFmtId="166" fontId="21" fillId="6" borderId="39" xfId="10" applyNumberFormat="1" applyFont="1" applyFill="1" applyBorder="1" applyAlignment="1">
      <alignment horizontal="right" vertical="center"/>
    </xf>
    <xf numFmtId="3" fontId="8" fillId="7" borderId="80" xfId="10" applyNumberFormat="1" applyFont="1" applyFill="1" applyBorder="1" applyAlignment="1">
      <alignment horizontal="right" vertical="center"/>
    </xf>
    <xf numFmtId="0" fontId="17" fillId="6" borderId="20" xfId="10" applyFont="1" applyFill="1" applyBorder="1" applyAlignment="1">
      <alignment vertical="center"/>
    </xf>
    <xf numFmtId="0" fontId="17" fillId="6" borderId="14" xfId="10" applyFont="1" applyFill="1" applyBorder="1" applyAlignment="1">
      <alignment vertical="center"/>
    </xf>
    <xf numFmtId="3" fontId="6" fillId="6" borderId="14" xfId="10" applyNumberFormat="1" applyFont="1" applyFill="1" applyBorder="1" applyAlignment="1">
      <alignment horizontal="right" vertical="center"/>
    </xf>
    <xf numFmtId="166" fontId="21" fillId="6" borderId="16" xfId="10" applyNumberFormat="1" applyFont="1" applyFill="1" applyBorder="1" applyAlignment="1">
      <alignment horizontal="right" vertical="center"/>
    </xf>
    <xf numFmtId="166" fontId="21" fillId="6" borderId="21" xfId="10" applyNumberFormat="1" applyFont="1" applyFill="1" applyBorder="1" applyAlignment="1">
      <alignment horizontal="right" vertical="center"/>
    </xf>
    <xf numFmtId="3" fontId="8" fillId="8" borderId="88" xfId="10" applyNumberFormat="1" applyFont="1" applyFill="1" applyBorder="1" applyAlignment="1">
      <alignment horizontal="right" vertical="center"/>
    </xf>
    <xf numFmtId="166" fontId="21" fillId="6" borderId="40" xfId="10" applyNumberFormat="1" applyFont="1" applyFill="1" applyBorder="1" applyAlignment="1">
      <alignment horizontal="right" vertical="center"/>
    </xf>
    <xf numFmtId="3" fontId="8" fillId="7" borderId="89" xfId="10" applyNumberFormat="1" applyFont="1" applyFill="1" applyBorder="1" applyAlignment="1">
      <alignment horizontal="right" vertical="center"/>
    </xf>
    <xf numFmtId="0" fontId="17" fillId="6" borderId="23" xfId="10" applyFont="1" applyFill="1" applyBorder="1" applyAlignment="1">
      <alignment vertical="center"/>
    </xf>
    <xf numFmtId="3" fontId="6" fillId="6" borderId="23" xfId="10" applyNumberFormat="1" applyFont="1" applyFill="1" applyBorder="1" applyAlignment="1">
      <alignment horizontal="right" vertical="center"/>
    </xf>
    <xf numFmtId="166" fontId="21" fillId="6" borderId="85" xfId="10" applyNumberFormat="1" applyFont="1" applyFill="1" applyBorder="1" applyAlignment="1">
      <alignment horizontal="right" vertical="center"/>
    </xf>
    <xf numFmtId="3" fontId="8" fillId="8" borderId="86" xfId="10" applyNumberFormat="1" applyFont="1" applyFill="1" applyBorder="1" applyAlignment="1">
      <alignment horizontal="right" vertical="center"/>
    </xf>
    <xf numFmtId="166" fontId="21" fillId="6" borderId="25" xfId="10" applyNumberFormat="1" applyFont="1" applyFill="1" applyBorder="1" applyAlignment="1">
      <alignment horizontal="right" vertical="center"/>
    </xf>
    <xf numFmtId="3" fontId="8" fillId="7" borderId="87" xfId="10" applyNumberFormat="1" applyFont="1" applyFill="1" applyBorder="1" applyAlignment="1">
      <alignment horizontal="right" vertical="center"/>
    </xf>
    <xf numFmtId="0" fontId="17" fillId="6" borderId="34" xfId="10" applyFont="1" applyFill="1" applyBorder="1" applyAlignment="1">
      <alignment vertical="center"/>
    </xf>
    <xf numFmtId="166" fontId="21" fillId="6" borderId="19" xfId="10" applyNumberFormat="1" applyFont="1" applyFill="1" applyBorder="1" applyAlignment="1">
      <alignment horizontal="right" vertical="center"/>
    </xf>
    <xf numFmtId="0" fontId="17" fillId="6" borderId="18" xfId="10" applyFont="1" applyFill="1" applyBorder="1" applyAlignment="1">
      <alignment vertical="center"/>
    </xf>
    <xf numFmtId="3" fontId="17" fillId="6" borderId="17" xfId="10" applyNumberFormat="1" applyFont="1" applyFill="1" applyBorder="1" applyAlignment="1">
      <alignment horizontal="right" vertical="center"/>
    </xf>
    <xf numFmtId="3" fontId="24" fillId="8" borderId="90" xfId="10" applyNumberFormat="1" applyFont="1" applyFill="1" applyBorder="1" applyAlignment="1">
      <alignment horizontal="right" vertical="center"/>
    </xf>
    <xf numFmtId="3" fontId="24" fillId="7" borderId="91" xfId="10" applyNumberFormat="1" applyFont="1" applyFill="1" applyBorder="1" applyAlignment="1">
      <alignment horizontal="right" vertical="center"/>
    </xf>
    <xf numFmtId="0" fontId="17" fillId="6" borderId="66" xfId="10" applyFont="1" applyFill="1" applyBorder="1" applyAlignment="1">
      <alignment vertical="center"/>
    </xf>
    <xf numFmtId="0" fontId="17" fillId="6" borderId="21" xfId="10" applyFont="1" applyFill="1" applyBorder="1" applyAlignment="1">
      <alignment vertical="center"/>
    </xf>
    <xf numFmtId="0" fontId="17" fillId="6" borderId="54" xfId="10" applyFont="1" applyFill="1" applyBorder="1" applyAlignment="1">
      <alignment vertical="center"/>
    </xf>
    <xf numFmtId="0" fontId="17" fillId="6" borderId="16" xfId="10" applyFont="1" applyFill="1" applyBorder="1" applyAlignment="1">
      <alignment vertical="center"/>
    </xf>
    <xf numFmtId="3" fontId="17" fillId="6" borderId="54" xfId="10" applyNumberFormat="1" applyFont="1" applyFill="1" applyBorder="1" applyAlignment="1">
      <alignment horizontal="right" vertical="center"/>
    </xf>
    <xf numFmtId="3" fontId="17" fillId="6" borderId="14" xfId="10" applyNumberFormat="1" applyFont="1" applyFill="1" applyBorder="1" applyAlignment="1">
      <alignment horizontal="right" vertical="center"/>
    </xf>
    <xf numFmtId="3" fontId="24" fillId="8" borderId="88" xfId="10" applyNumberFormat="1" applyFont="1" applyFill="1" applyBorder="1" applyAlignment="1">
      <alignment horizontal="right" vertical="center"/>
    </xf>
    <xf numFmtId="3" fontId="24" fillId="7" borderId="89" xfId="10" applyNumberFormat="1" applyFont="1" applyFill="1" applyBorder="1" applyAlignment="1">
      <alignment horizontal="right" vertical="center"/>
    </xf>
    <xf numFmtId="0" fontId="17" fillId="6" borderId="17" xfId="10" applyFont="1" applyFill="1" applyBorder="1" applyAlignment="1">
      <alignment vertical="center"/>
    </xf>
    <xf numFmtId="0" fontId="17" fillId="6" borderId="92" xfId="10" applyFont="1" applyFill="1" applyBorder="1" applyAlignment="1">
      <alignment vertical="center"/>
    </xf>
    <xf numFmtId="0" fontId="17" fillId="6" borderId="93" xfId="10" applyFont="1" applyFill="1" applyBorder="1" applyAlignment="1">
      <alignment vertical="center"/>
    </xf>
    <xf numFmtId="0" fontId="17" fillId="6" borderId="1" xfId="10" applyFont="1" applyFill="1" applyBorder="1" applyAlignment="1">
      <alignment vertical="center"/>
    </xf>
    <xf numFmtId="0" fontId="17" fillId="6" borderId="3" xfId="10" applyFont="1" applyFill="1" applyBorder="1" applyAlignment="1">
      <alignment vertical="center"/>
    </xf>
    <xf numFmtId="0" fontId="6" fillId="6" borderId="3" xfId="10" applyFont="1" applyFill="1" applyBorder="1" applyAlignment="1">
      <alignment vertical="center"/>
    </xf>
    <xf numFmtId="0" fontId="6" fillId="6" borderId="77" xfId="10" applyFont="1" applyFill="1" applyBorder="1" applyAlignment="1">
      <alignment vertical="center"/>
    </xf>
    <xf numFmtId="3" fontId="6" fillId="6" borderId="2" xfId="10" applyNumberFormat="1" applyFont="1" applyFill="1" applyBorder="1" applyAlignment="1">
      <alignment horizontal="right" vertical="center"/>
    </xf>
    <xf numFmtId="166" fontId="21" fillId="6" borderId="41" xfId="10" applyNumberFormat="1" applyFont="1" applyFill="1" applyBorder="1" applyAlignment="1">
      <alignment horizontal="right" vertical="center"/>
    </xf>
    <xf numFmtId="166" fontId="21" fillId="6" borderId="3" xfId="10" applyNumberFormat="1" applyFont="1" applyFill="1" applyBorder="1" applyAlignment="1">
      <alignment horizontal="right" vertical="center"/>
    </xf>
    <xf numFmtId="3" fontId="8" fillId="8" borderId="94" xfId="10" applyNumberFormat="1" applyFont="1" applyFill="1" applyBorder="1" applyAlignment="1">
      <alignment horizontal="right" vertical="center"/>
    </xf>
    <xf numFmtId="166" fontId="21" fillId="6" borderId="4" xfId="10" applyNumberFormat="1" applyFont="1" applyFill="1" applyBorder="1" applyAlignment="1">
      <alignment horizontal="right" vertical="center"/>
    </xf>
    <xf numFmtId="3" fontId="8" fillId="7" borderId="95" xfId="10" applyNumberFormat="1" applyFont="1" applyFill="1" applyBorder="1" applyAlignment="1">
      <alignment horizontal="right" vertical="center"/>
    </xf>
    <xf numFmtId="0" fontId="17" fillId="0" borderId="20" xfId="10" applyFont="1" applyBorder="1" applyAlignment="1">
      <alignment vertical="center"/>
    </xf>
    <xf numFmtId="0" fontId="17" fillId="0" borderId="21" xfId="10" applyFont="1" applyBorder="1" applyAlignment="1">
      <alignment vertical="center"/>
    </xf>
    <xf numFmtId="3" fontId="6" fillId="6" borderId="54" xfId="10" applyNumberFormat="1" applyFont="1" applyFill="1" applyBorder="1" applyAlignment="1">
      <alignment horizontal="right" vertical="center"/>
    </xf>
    <xf numFmtId="0" fontId="17" fillId="0" borderId="27" xfId="10" applyFont="1" applyBorder="1" applyAlignment="1">
      <alignment vertical="center"/>
    </xf>
    <xf numFmtId="0" fontId="17" fillId="0" borderId="54" xfId="10" applyFont="1" applyBorder="1" applyAlignment="1">
      <alignment vertical="center"/>
    </xf>
    <xf numFmtId="0" fontId="17" fillId="0" borderId="16" xfId="10" applyFont="1" applyBorder="1" applyAlignment="1">
      <alignment vertical="center"/>
    </xf>
    <xf numFmtId="0" fontId="17" fillId="6" borderId="77" xfId="10" applyFont="1" applyFill="1" applyBorder="1" applyAlignment="1">
      <alignment vertical="center"/>
    </xf>
    <xf numFmtId="3" fontId="6" fillId="0" borderId="2" xfId="3" applyNumberFormat="1" applyFont="1" applyBorder="1" applyAlignment="1">
      <alignment horizontal="right" vertical="center"/>
    </xf>
    <xf numFmtId="3" fontId="8" fillId="8" borderId="94" xfId="3" applyNumberFormat="1" applyFont="1" applyFill="1" applyBorder="1" applyAlignment="1">
      <alignment horizontal="right" vertical="center"/>
    </xf>
    <xf numFmtId="3" fontId="8" fillId="7" borderId="95" xfId="3" applyNumberFormat="1" applyFont="1" applyFill="1" applyBorder="1" applyAlignment="1">
      <alignment horizontal="right" vertical="center"/>
    </xf>
    <xf numFmtId="0" fontId="17" fillId="6" borderId="43" xfId="10" applyFont="1" applyFill="1" applyBorder="1" applyAlignment="1">
      <alignment vertical="center"/>
    </xf>
    <xf numFmtId="0" fontId="17" fillId="0" borderId="93" xfId="10" applyFont="1" applyBorder="1" applyAlignment="1">
      <alignment vertical="center"/>
    </xf>
    <xf numFmtId="3" fontId="6" fillId="0" borderId="17" xfId="10" applyNumberFormat="1" applyFont="1" applyBorder="1" applyAlignment="1">
      <alignment horizontal="right" vertical="center"/>
    </xf>
    <xf numFmtId="166" fontId="21" fillId="0" borderId="44" xfId="10" applyNumberFormat="1" applyFont="1" applyBorder="1" applyAlignment="1">
      <alignment horizontal="right" vertical="center"/>
    </xf>
    <xf numFmtId="166" fontId="21" fillId="0" borderId="18" xfId="10" applyNumberFormat="1" applyFont="1" applyBorder="1" applyAlignment="1">
      <alignment horizontal="right" vertical="center"/>
    </xf>
    <xf numFmtId="3" fontId="29" fillId="8" borderId="90" xfId="10" applyNumberFormat="1" applyFont="1" applyFill="1" applyBorder="1" applyAlignment="1">
      <alignment horizontal="right" vertical="center"/>
    </xf>
    <xf numFmtId="166" fontId="21" fillId="6" borderId="12" xfId="10" applyNumberFormat="1" applyFont="1" applyFill="1" applyBorder="1" applyAlignment="1">
      <alignment horizontal="right" vertical="center"/>
    </xf>
    <xf numFmtId="3" fontId="29" fillId="7" borderId="91" xfId="10" applyNumberFormat="1" applyFont="1" applyFill="1" applyBorder="1" applyAlignment="1">
      <alignment horizontal="right" vertical="center"/>
    </xf>
    <xf numFmtId="3" fontId="6" fillId="0" borderId="14" xfId="10" applyNumberFormat="1" applyFont="1" applyBorder="1" applyAlignment="1">
      <alignment horizontal="right" vertical="center"/>
    </xf>
    <xf numFmtId="166" fontId="21" fillId="0" borderId="16" xfId="10" applyNumberFormat="1" applyFont="1" applyBorder="1" applyAlignment="1">
      <alignment horizontal="right" vertical="center"/>
    </xf>
    <xf numFmtId="166" fontId="21" fillId="0" borderId="21" xfId="10" applyNumberFormat="1" applyFont="1" applyBorder="1" applyAlignment="1">
      <alignment horizontal="right" vertical="center"/>
    </xf>
    <xf numFmtId="3" fontId="8" fillId="8" borderId="90" xfId="10" applyNumberFormat="1" applyFont="1" applyFill="1" applyBorder="1" applyAlignment="1">
      <alignment horizontal="right" vertical="center"/>
    </xf>
    <xf numFmtId="3" fontId="8" fillId="7" borderId="91" xfId="10" applyNumberFormat="1" applyFont="1" applyFill="1" applyBorder="1" applyAlignment="1">
      <alignment horizontal="right" vertical="center"/>
    </xf>
    <xf numFmtId="0" fontId="17" fillId="0" borderId="81" xfId="10" applyFont="1" applyBorder="1" applyAlignment="1">
      <alignment vertical="center"/>
    </xf>
    <xf numFmtId="0" fontId="25" fillId="6" borderId="1" xfId="10" applyFont="1" applyFill="1" applyBorder="1" applyAlignment="1">
      <alignment vertical="center"/>
    </xf>
    <xf numFmtId="0" fontId="25" fillId="6" borderId="3" xfId="10" applyFont="1" applyFill="1" applyBorder="1" applyAlignment="1">
      <alignment vertical="center" wrapText="1"/>
    </xf>
    <xf numFmtId="0" fontId="23" fillId="6" borderId="3" xfId="10" applyFont="1" applyFill="1" applyBorder="1" applyAlignment="1">
      <alignment vertical="center"/>
    </xf>
    <xf numFmtId="0" fontId="23" fillId="6" borderId="77" xfId="10" applyFont="1" applyFill="1" applyBorder="1" applyAlignment="1">
      <alignment vertical="center" wrapText="1"/>
    </xf>
    <xf numFmtId="3" fontId="23" fillId="6" borderId="2" xfId="10" applyNumberFormat="1" applyFont="1" applyFill="1" applyBorder="1" applyAlignment="1">
      <alignment horizontal="right" vertical="center"/>
    </xf>
    <xf numFmtId="166" fontId="26" fillId="6" borderId="41" xfId="10" applyNumberFormat="1" applyFont="1" applyFill="1" applyBorder="1" applyAlignment="1">
      <alignment horizontal="right" vertical="center"/>
    </xf>
    <xf numFmtId="166" fontId="27" fillId="6" borderId="3" xfId="10" applyNumberFormat="1" applyFont="1" applyFill="1" applyBorder="1" applyAlignment="1">
      <alignment horizontal="right" vertical="center"/>
    </xf>
    <xf numFmtId="3" fontId="28" fillId="8" borderId="94" xfId="10" applyNumberFormat="1" applyFont="1" applyFill="1" applyBorder="1" applyAlignment="1">
      <alignment horizontal="right" vertical="center"/>
    </xf>
    <xf numFmtId="166" fontId="27" fillId="6" borderId="4" xfId="10" applyNumberFormat="1" applyFont="1" applyFill="1" applyBorder="1" applyAlignment="1">
      <alignment horizontal="right" vertical="center"/>
    </xf>
    <xf numFmtId="0" fontId="31" fillId="0" borderId="64" xfId="10" applyFont="1" applyBorder="1" applyAlignment="1">
      <alignment vertical="center"/>
    </xf>
    <xf numFmtId="0" fontId="31" fillId="0" borderId="0" xfId="10" applyFont="1" applyAlignment="1">
      <alignment vertical="center"/>
    </xf>
    <xf numFmtId="0" fontId="32" fillId="0" borderId="0" xfId="10" applyFont="1" applyAlignment="1">
      <alignment vertical="center"/>
    </xf>
    <xf numFmtId="3" fontId="31" fillId="0" borderId="0" xfId="10" applyNumberFormat="1" applyFont="1" applyAlignment="1">
      <alignment horizontal="right" vertical="center"/>
    </xf>
    <xf numFmtId="166" fontId="31" fillId="0" borderId="0" xfId="10" applyNumberFormat="1" applyFont="1" applyAlignment="1">
      <alignment horizontal="right" vertical="center"/>
    </xf>
    <xf numFmtId="0" fontId="31" fillId="0" borderId="0" xfId="10" applyFont="1" applyAlignment="1">
      <alignment horizontal="right" vertical="center"/>
    </xf>
    <xf numFmtId="3" fontId="31" fillId="0" borderId="68" xfId="10" applyNumberFormat="1" applyFont="1" applyBorder="1" applyAlignment="1">
      <alignment horizontal="right" vertical="center"/>
    </xf>
    <xf numFmtId="0" fontId="31" fillId="0" borderId="78" xfId="10" applyFont="1" applyBorder="1" applyAlignment="1">
      <alignment horizontal="right" vertical="center"/>
    </xf>
    <xf numFmtId="0" fontId="23" fillId="6" borderId="20" xfId="10" applyFont="1" applyFill="1" applyBorder="1" applyAlignment="1">
      <alignment vertical="center"/>
    </xf>
    <xf numFmtId="0" fontId="23" fillId="6" borderId="14" xfId="10" applyFont="1" applyFill="1" applyBorder="1" applyAlignment="1">
      <alignment vertical="center"/>
    </xf>
    <xf numFmtId="0" fontId="6" fillId="6" borderId="21" xfId="10" applyFont="1" applyFill="1" applyBorder="1" applyAlignment="1">
      <alignment vertical="center"/>
    </xf>
    <xf numFmtId="0" fontId="14" fillId="6" borderId="54" xfId="10" applyFont="1" applyFill="1" applyBorder="1" applyAlignment="1">
      <alignment vertical="center"/>
    </xf>
    <xf numFmtId="166" fontId="26" fillId="6" borderId="16" xfId="10" applyNumberFormat="1" applyFont="1" applyFill="1" applyBorder="1" applyAlignment="1">
      <alignment horizontal="right" vertical="center"/>
    </xf>
    <xf numFmtId="166" fontId="26" fillId="6" borderId="21" xfId="10" applyNumberFormat="1" applyFont="1" applyFill="1" applyBorder="1" applyAlignment="1">
      <alignment horizontal="right" vertical="center"/>
    </xf>
    <xf numFmtId="166" fontId="26" fillId="6" borderId="19" xfId="10" applyNumberFormat="1" applyFont="1" applyFill="1" applyBorder="1" applyAlignment="1">
      <alignment horizontal="right" vertical="center"/>
    </xf>
    <xf numFmtId="3" fontId="6" fillId="7" borderId="89" xfId="10" applyNumberFormat="1" applyFont="1" applyFill="1" applyBorder="1" applyAlignment="1">
      <alignment horizontal="right" vertical="center"/>
    </xf>
    <xf numFmtId="0" fontId="23" fillId="6" borderId="33" xfId="10" applyFont="1" applyFill="1" applyBorder="1" applyAlignment="1">
      <alignment vertical="center"/>
    </xf>
    <xf numFmtId="0" fontId="23" fillId="6" borderId="34" xfId="10" applyFont="1" applyFill="1" applyBorder="1" applyAlignment="1">
      <alignment vertical="center"/>
    </xf>
    <xf numFmtId="0" fontId="6" fillId="6" borderId="35" xfId="10" applyFont="1" applyFill="1" applyBorder="1" applyAlignment="1">
      <alignment vertical="center"/>
    </xf>
    <xf numFmtId="0" fontId="14" fillId="6" borderId="81" xfId="10" applyFont="1" applyFill="1" applyBorder="1" applyAlignment="1">
      <alignment vertical="center"/>
    </xf>
    <xf numFmtId="3" fontId="6" fillId="6" borderId="34" xfId="10" applyNumberFormat="1" applyFont="1" applyFill="1" applyBorder="1" applyAlignment="1">
      <alignment horizontal="right" vertical="center"/>
    </xf>
    <xf numFmtId="166" fontId="26" fillId="6" borderId="36" xfId="10" applyNumberFormat="1" applyFont="1" applyFill="1" applyBorder="1" applyAlignment="1">
      <alignment horizontal="right" vertical="center"/>
    </xf>
    <xf numFmtId="166" fontId="26" fillId="6" borderId="35" xfId="10" applyNumberFormat="1" applyFont="1" applyFill="1" applyBorder="1" applyAlignment="1">
      <alignment horizontal="right" vertical="center"/>
    </xf>
    <xf numFmtId="166" fontId="26" fillId="6" borderId="37" xfId="10" applyNumberFormat="1" applyFont="1" applyFill="1" applyBorder="1" applyAlignment="1">
      <alignment horizontal="right" vertical="center"/>
    </xf>
    <xf numFmtId="3" fontId="6" fillId="7" borderId="83" xfId="10" applyNumberFormat="1" applyFont="1" applyFill="1" applyBorder="1" applyAlignment="1">
      <alignment horizontal="right" vertical="center"/>
    </xf>
    <xf numFmtId="0" fontId="14" fillId="6" borderId="1" xfId="10" applyFont="1" applyFill="1" applyBorder="1" applyAlignment="1">
      <alignment vertical="center"/>
    </xf>
    <xf numFmtId="0" fontId="14" fillId="6" borderId="2" xfId="10" applyFont="1" applyFill="1" applyBorder="1" applyAlignment="1">
      <alignment vertical="center"/>
    </xf>
    <xf numFmtId="3" fontId="14" fillId="6" borderId="2" xfId="10" applyNumberFormat="1" applyFont="1" applyFill="1" applyBorder="1" applyAlignment="1">
      <alignment horizontal="right" vertical="center"/>
    </xf>
    <xf numFmtId="0" fontId="5" fillId="0" borderId="0" xfId="10" applyFont="1" applyAlignment="1">
      <alignment vertical="center"/>
    </xf>
    <xf numFmtId="166" fontId="5" fillId="0" borderId="0" xfId="10" applyNumberFormat="1" applyFont="1" applyAlignment="1">
      <alignment vertical="center"/>
    </xf>
    <xf numFmtId="3" fontId="5" fillId="0" borderId="0" xfId="10" applyNumberFormat="1" applyFont="1" applyAlignment="1">
      <alignment vertical="center"/>
    </xf>
    <xf numFmtId="166" fontId="6" fillId="0" borderId="0" xfId="10" applyNumberFormat="1" applyFont="1" applyAlignment="1">
      <alignment vertical="center"/>
    </xf>
    <xf numFmtId="3" fontId="5" fillId="0" borderId="0" xfId="10" applyNumberFormat="1" applyFont="1" applyAlignment="1">
      <alignment horizontal="right" vertical="center"/>
    </xf>
    <xf numFmtId="0" fontId="6" fillId="0" borderId="0" xfId="10" applyFont="1" applyAlignment="1">
      <alignment vertical="center"/>
    </xf>
    <xf numFmtId="0" fontId="14" fillId="0" borderId="0" xfId="10" applyFont="1" applyAlignment="1">
      <alignment vertical="center"/>
    </xf>
    <xf numFmtId="166" fontId="5" fillId="0" borderId="14" xfId="10" applyNumberFormat="1" applyFont="1" applyBorder="1" applyAlignment="1">
      <alignment vertical="center"/>
    </xf>
    <xf numFmtId="166" fontId="6" fillId="0" borderId="14" xfId="10" applyNumberFormat="1" applyFont="1" applyBorder="1" applyAlignment="1">
      <alignment vertical="center"/>
    </xf>
    <xf numFmtId="3" fontId="5" fillId="0" borderId="14" xfId="10" applyNumberFormat="1" applyFont="1" applyBorder="1" applyAlignment="1">
      <alignment horizontal="right" vertical="center"/>
    </xf>
    <xf numFmtId="0" fontId="34" fillId="0" borderId="0" xfId="3" applyFont="1" applyAlignment="1">
      <alignment horizontal="right" vertical="center"/>
    </xf>
    <xf numFmtId="0" fontId="35" fillId="0" borderId="0" xfId="5" applyFont="1" applyAlignment="1">
      <alignment horizontal="left" vertical="center"/>
    </xf>
    <xf numFmtId="0" fontId="36" fillId="0" borderId="0" xfId="5" applyFont="1" applyAlignment="1">
      <alignment horizontal="left" vertical="center"/>
    </xf>
    <xf numFmtId="0" fontId="37" fillId="0" borderId="0" xfId="5" applyFont="1" applyAlignment="1">
      <alignment horizontal="center" vertical="center"/>
    </xf>
    <xf numFmtId="0" fontId="4" fillId="0" borderId="0" xfId="4"/>
    <xf numFmtId="0" fontId="8" fillId="0" borderId="14" xfId="5" applyFont="1" applyBorder="1" applyAlignment="1">
      <alignment horizontal="left" vertical="center" wrapText="1" indent="1"/>
    </xf>
    <xf numFmtId="3" fontId="8" fillId="0" borderId="14" xfId="5" applyNumberFormat="1" applyFont="1" applyBorder="1" applyAlignment="1">
      <alignment horizontal="right" vertical="center" wrapText="1" indent="1"/>
    </xf>
    <xf numFmtId="3" fontId="8" fillId="0" borderId="14" xfId="5" applyNumberFormat="1" applyFont="1" applyBorder="1" applyAlignment="1">
      <alignment horizontal="center" vertical="center" wrapText="1"/>
    </xf>
    <xf numFmtId="0" fontId="8" fillId="0" borderId="0" xfId="5" applyFont="1" applyAlignment="1">
      <alignment vertical="center"/>
    </xf>
    <xf numFmtId="0" fontId="8" fillId="0" borderId="0" xfId="5" applyFont="1" applyAlignment="1">
      <alignment horizontal="left" vertical="center" wrapText="1" indent="1"/>
    </xf>
    <xf numFmtId="3" fontId="8" fillId="0" borderId="0" xfId="5" applyNumberFormat="1" applyFont="1" applyAlignment="1">
      <alignment horizontal="left" vertical="center" wrapText="1" indent="1"/>
    </xf>
    <xf numFmtId="0" fontId="38" fillId="0" borderId="0" xfId="5" applyFont="1" applyAlignment="1">
      <alignment vertical="center"/>
    </xf>
    <xf numFmtId="3" fontId="38" fillId="0" borderId="0" xfId="5" applyNumberFormat="1" applyFont="1" applyAlignment="1">
      <alignment horizontal="right" vertical="center" indent="1"/>
    </xf>
    <xf numFmtId="0" fontId="5" fillId="0" borderId="1" xfId="5" applyFont="1" applyBorder="1" applyAlignment="1">
      <alignment horizontal="center" vertical="center" wrapText="1"/>
    </xf>
    <xf numFmtId="0" fontId="5" fillId="0" borderId="4" xfId="5" applyFont="1" applyBorder="1" applyAlignment="1">
      <alignment horizontal="center" vertical="center" wrapText="1"/>
    </xf>
    <xf numFmtId="0" fontId="5" fillId="0" borderId="41" xfId="5" applyFont="1" applyBorder="1" applyAlignment="1">
      <alignment horizontal="center" vertical="center" wrapText="1"/>
    </xf>
    <xf numFmtId="3" fontId="7" fillId="0" borderId="4" xfId="5" applyNumberFormat="1" applyFont="1" applyBorder="1" applyAlignment="1">
      <alignment horizontal="center" vertical="center" wrapText="1"/>
    </xf>
    <xf numFmtId="0" fontId="8" fillId="0" borderId="96" xfId="5" applyFont="1" applyBorder="1" applyAlignment="1">
      <alignment horizontal="center" vertical="center" wrapText="1"/>
    </xf>
    <xf numFmtId="0" fontId="8" fillId="0" borderId="97" xfId="5" applyFont="1" applyBorder="1" applyAlignment="1">
      <alignment horizontal="left" vertical="center" wrapText="1" indent="1"/>
    </xf>
    <xf numFmtId="3" fontId="8" fillId="0" borderId="98" xfId="5" applyNumberFormat="1" applyFont="1" applyBorder="1" applyAlignment="1">
      <alignment horizontal="right" vertical="center" wrapText="1" indent="1"/>
    </xf>
    <xf numFmtId="3" fontId="8" fillId="0" borderId="99" xfId="5" applyNumberFormat="1" applyFont="1" applyBorder="1" applyAlignment="1">
      <alignment horizontal="right" vertical="center" wrapText="1" indent="1"/>
    </xf>
    <xf numFmtId="3" fontId="8" fillId="0" borderId="97" xfId="5" applyNumberFormat="1" applyFont="1" applyBorder="1" applyAlignment="1">
      <alignment horizontal="right" vertical="center" wrapText="1" indent="1"/>
    </xf>
    <xf numFmtId="0" fontId="8" fillId="0" borderId="100" xfId="5" applyFont="1" applyBorder="1" applyAlignment="1">
      <alignment horizontal="center" vertical="center" wrapText="1"/>
    </xf>
    <xf numFmtId="0" fontId="8" fillId="0" borderId="101" xfId="5" applyFont="1" applyBorder="1" applyAlignment="1">
      <alignment horizontal="left" vertical="center" wrapText="1" indent="1"/>
    </xf>
    <xf numFmtId="3" fontId="8" fillId="0" borderId="102" xfId="5" applyNumberFormat="1" applyFont="1" applyBorder="1" applyAlignment="1">
      <alignment horizontal="right" vertical="center" wrapText="1" indent="1"/>
    </xf>
    <xf numFmtId="3" fontId="8" fillId="0" borderId="103" xfId="5" applyNumberFormat="1" applyFont="1" applyBorder="1" applyAlignment="1">
      <alignment horizontal="right" vertical="center" wrapText="1" indent="1"/>
    </xf>
    <xf numFmtId="0" fontId="5" fillId="0" borderId="1" xfId="5" applyFont="1" applyBorder="1" applyAlignment="1">
      <alignment vertical="center"/>
    </xf>
    <xf numFmtId="0" fontId="5" fillId="0" borderId="4" xfId="5" applyFont="1" applyBorder="1" applyAlignment="1">
      <alignment horizontal="left" vertical="center" indent="1"/>
    </xf>
    <xf numFmtId="3" fontId="5" fillId="0" borderId="41" xfId="5" applyNumberFormat="1" applyFont="1" applyBorder="1" applyAlignment="1">
      <alignment horizontal="right" vertical="center" indent="1"/>
    </xf>
    <xf numFmtId="3" fontId="7" fillId="0" borderId="104" xfId="5" applyNumberFormat="1" applyFont="1" applyBorder="1" applyAlignment="1">
      <alignment horizontal="right" vertical="center" indent="1"/>
    </xf>
    <xf numFmtId="0" fontId="4" fillId="0" borderId="0" xfId="5" applyFont="1" applyAlignment="1">
      <alignment vertical="center"/>
    </xf>
    <xf numFmtId="0" fontId="4" fillId="0" borderId="0" xfId="0" applyFont="1"/>
    <xf numFmtId="0" fontId="39" fillId="0" borderId="0" xfId="5" applyFont="1" applyAlignment="1">
      <alignment vertical="center"/>
    </xf>
    <xf numFmtId="0" fontId="40" fillId="0" borderId="0" xfId="5" applyFont="1" applyAlignment="1">
      <alignment vertical="center"/>
    </xf>
    <xf numFmtId="0" fontId="41" fillId="0" borderId="0" xfId="5" applyFont="1" applyAlignment="1">
      <alignment vertical="center"/>
    </xf>
    <xf numFmtId="0" fontId="42" fillId="0" borderId="0" xfId="5" applyFont="1" applyAlignment="1">
      <alignment vertical="center"/>
    </xf>
    <xf numFmtId="0" fontId="43" fillId="0" borderId="0" xfId="5" applyFont="1" applyAlignment="1">
      <alignment vertical="center"/>
    </xf>
    <xf numFmtId="3" fontId="38" fillId="0" borderId="14" xfId="5" applyNumberFormat="1" applyFont="1" applyBorder="1" applyAlignment="1">
      <alignment horizontal="right" vertical="center" indent="1"/>
    </xf>
    <xf numFmtId="0" fontId="38" fillId="0" borderId="0" xfId="5" applyFont="1" applyAlignment="1">
      <alignment vertical="center" wrapText="1"/>
    </xf>
    <xf numFmtId="0" fontId="38" fillId="0" borderId="0" xfId="5" applyFont="1" applyAlignment="1">
      <alignment horizontal="center" vertical="center" wrapText="1"/>
    </xf>
    <xf numFmtId="0" fontId="38" fillId="0" borderId="0" xfId="5" applyFont="1" applyAlignment="1">
      <alignment horizontal="right" vertical="center" indent="1"/>
    </xf>
    <xf numFmtId="0" fontId="38" fillId="0" borderId="13" xfId="5" applyFont="1" applyBorder="1" applyAlignment="1">
      <alignment horizontal="center" vertical="center" wrapText="1"/>
    </xf>
    <xf numFmtId="0" fontId="38" fillId="0" borderId="10" xfId="5" applyFont="1" applyBorder="1" applyAlignment="1">
      <alignment horizontal="left" vertical="center" wrapText="1" indent="1"/>
    </xf>
    <xf numFmtId="3" fontId="38" fillId="0" borderId="10" xfId="5" applyNumberFormat="1" applyFont="1" applyBorder="1" applyAlignment="1">
      <alignment horizontal="right" vertical="center" wrapText="1" indent="1"/>
    </xf>
    <xf numFmtId="3" fontId="38" fillId="0" borderId="15" xfId="5" applyNumberFormat="1" applyFont="1" applyBorder="1" applyAlignment="1">
      <alignment horizontal="right" vertical="center" indent="1"/>
    </xf>
    <xf numFmtId="0" fontId="38" fillId="0" borderId="20" xfId="5" applyFont="1" applyBorder="1" applyAlignment="1">
      <alignment horizontal="center" vertical="center" wrapText="1"/>
    </xf>
    <xf numFmtId="0" fontId="38" fillId="0" borderId="14" xfId="5" applyFont="1" applyBorder="1" applyAlignment="1">
      <alignment horizontal="left" vertical="center" wrapText="1" indent="1"/>
    </xf>
    <xf numFmtId="3" fontId="38" fillId="0" borderId="14" xfId="5" applyNumberFormat="1" applyFont="1" applyBorder="1" applyAlignment="1">
      <alignment horizontal="right" vertical="center" wrapText="1" indent="1"/>
    </xf>
    <xf numFmtId="3" fontId="38" fillId="0" borderId="19" xfId="5" applyNumberFormat="1" applyFont="1" applyBorder="1" applyAlignment="1">
      <alignment horizontal="right" vertical="center" indent="1"/>
    </xf>
    <xf numFmtId="0" fontId="38" fillId="0" borderId="22" xfId="5" applyFont="1" applyBorder="1" applyAlignment="1">
      <alignment horizontal="center" vertical="center" wrapText="1"/>
    </xf>
    <xf numFmtId="0" fontId="38" fillId="0" borderId="23" xfId="5" applyFont="1" applyBorder="1" applyAlignment="1">
      <alignment horizontal="left" vertical="center" wrapText="1" indent="1"/>
    </xf>
    <xf numFmtId="3" fontId="38" fillId="0" borderId="23" xfId="5" applyNumberFormat="1" applyFont="1" applyBorder="1" applyAlignment="1">
      <alignment horizontal="right" vertical="center" wrapText="1" indent="1"/>
    </xf>
    <xf numFmtId="3" fontId="38" fillId="0" borderId="26" xfId="5" applyNumberFormat="1" applyFont="1" applyBorder="1" applyAlignment="1">
      <alignment horizontal="right" vertical="center" indent="1"/>
    </xf>
    <xf numFmtId="3" fontId="44" fillId="0" borderId="30" xfId="5" applyNumberFormat="1" applyFont="1" applyBorder="1" applyAlignment="1">
      <alignment horizontal="right" vertical="center" indent="1"/>
    </xf>
    <xf numFmtId="3" fontId="44" fillId="0" borderId="31" xfId="5" applyNumberFormat="1" applyFont="1" applyBorder="1" applyAlignment="1">
      <alignment horizontal="right" vertical="center" indent="1"/>
    </xf>
    <xf numFmtId="3" fontId="7" fillId="2" borderId="47" xfId="8" applyNumberFormat="1" applyFont="1" applyFill="1" applyBorder="1" applyAlignment="1">
      <alignment horizontal="right" vertical="center" indent="1"/>
    </xf>
    <xf numFmtId="3" fontId="7" fillId="3" borderId="40" xfId="8" applyNumberFormat="1" applyFont="1" applyFill="1" applyBorder="1" applyAlignment="1">
      <alignment horizontal="right" vertical="center" indent="1"/>
    </xf>
    <xf numFmtId="3" fontId="7" fillId="2" borderId="40" xfId="8" applyNumberFormat="1" applyFont="1" applyFill="1" applyBorder="1" applyAlignment="1">
      <alignment horizontal="right" vertical="center" indent="1"/>
    </xf>
    <xf numFmtId="3" fontId="7" fillId="4" borderId="40" xfId="8" applyNumberFormat="1" applyFont="1" applyFill="1" applyBorder="1" applyAlignment="1">
      <alignment horizontal="right" vertical="center" indent="1"/>
    </xf>
    <xf numFmtId="3" fontId="7" fillId="5" borderId="40" xfId="8" applyNumberFormat="1" applyFont="1" applyFill="1" applyBorder="1" applyAlignment="1">
      <alignment horizontal="right" vertical="center" indent="1"/>
    </xf>
    <xf numFmtId="3" fontId="7" fillId="5" borderId="48" xfId="8" applyNumberFormat="1" applyFont="1" applyFill="1" applyBorder="1" applyAlignment="1">
      <alignment horizontal="right" vertical="center" indent="1"/>
    </xf>
    <xf numFmtId="3" fontId="8" fillId="0" borderId="13" xfId="8" applyNumberFormat="1" applyFont="1" applyBorder="1" applyAlignment="1">
      <alignment horizontal="right" vertical="center" indent="1"/>
    </xf>
    <xf numFmtId="3" fontId="8" fillId="0" borderId="10" xfId="8" applyNumberFormat="1" applyFont="1" applyBorder="1" applyAlignment="1">
      <alignment horizontal="right" vertical="center" indent="1"/>
    </xf>
    <xf numFmtId="3" fontId="8" fillId="0" borderId="15" xfId="8" applyNumberFormat="1" applyFont="1" applyBorder="1" applyAlignment="1">
      <alignment horizontal="right" vertical="center" indent="1"/>
    </xf>
    <xf numFmtId="3" fontId="8" fillId="0" borderId="20" xfId="8" applyNumberFormat="1" applyFont="1" applyBorder="1" applyAlignment="1">
      <alignment horizontal="right" vertical="center" indent="1"/>
    </xf>
    <xf numFmtId="3" fontId="7" fillId="0" borderId="45" xfId="8" applyNumberFormat="1" applyFont="1" applyBorder="1" applyAlignment="1">
      <alignment horizontal="right" vertical="center" indent="1"/>
    </xf>
    <xf numFmtId="3" fontId="8" fillId="0" borderId="33" xfId="8" applyNumberFormat="1" applyFont="1" applyBorder="1" applyAlignment="1">
      <alignment horizontal="right" vertical="center" indent="1"/>
    </xf>
    <xf numFmtId="3" fontId="7" fillId="0" borderId="1" xfId="8" applyNumberFormat="1" applyFont="1" applyBorder="1" applyAlignment="1">
      <alignment horizontal="right" vertical="center" indent="1"/>
    </xf>
    <xf numFmtId="0" fontId="3" fillId="0" borderId="0" xfId="3" applyFont="1" applyAlignment="1">
      <alignment vertical="center"/>
    </xf>
    <xf numFmtId="9" fontId="12" fillId="10" borderId="42" xfId="0" applyNumberFormat="1" applyFont="1" applyFill="1" applyBorder="1"/>
    <xf numFmtId="9" fontId="12" fillId="10" borderId="77" xfId="0" applyNumberFormat="1" applyFont="1" applyFill="1" applyBorder="1"/>
    <xf numFmtId="0" fontId="0" fillId="10" borderId="22" xfId="0" applyFill="1" applyBorder="1" applyAlignment="1">
      <alignment horizontal="center"/>
    </xf>
    <xf numFmtId="0" fontId="0" fillId="10" borderId="84" xfId="0" applyFill="1" applyBorder="1" applyAlignment="1">
      <alignment horizontal="center"/>
    </xf>
    <xf numFmtId="0" fontId="0" fillId="10" borderId="24" xfId="0" applyFill="1" applyBorder="1" applyAlignment="1">
      <alignment horizontal="center"/>
    </xf>
    <xf numFmtId="0" fontId="0" fillId="10" borderId="26" xfId="0" applyFill="1" applyBorder="1" applyAlignment="1">
      <alignment horizontal="center"/>
    </xf>
    <xf numFmtId="0" fontId="0" fillId="10" borderId="22" xfId="0" applyFill="1" applyBorder="1" applyAlignment="1">
      <alignment horizontal="center" vertical="center" wrapText="1"/>
    </xf>
    <xf numFmtId="0" fontId="0" fillId="10" borderId="26" xfId="0" applyFill="1" applyBorder="1" applyAlignment="1">
      <alignment horizontal="center" vertical="center" wrapText="1"/>
    </xf>
    <xf numFmtId="0" fontId="0" fillId="11" borderId="64" xfId="0" applyFill="1" applyBorder="1" applyAlignment="1">
      <alignment horizontal="center" vertical="center"/>
    </xf>
    <xf numFmtId="0" fontId="8" fillId="11" borderId="49" xfId="5" applyFont="1" applyFill="1" applyBorder="1" applyAlignment="1">
      <alignment horizontal="left" vertical="center" wrapText="1" indent="1"/>
    </xf>
    <xf numFmtId="0" fontId="8" fillId="11" borderId="50" xfId="5" applyFont="1" applyFill="1" applyBorder="1" applyAlignment="1">
      <alignment horizontal="left" vertical="center" wrapText="1" indent="1"/>
    </xf>
    <xf numFmtId="0" fontId="0" fillId="11" borderId="71" xfId="0" applyFill="1" applyBorder="1" applyAlignment="1">
      <alignment horizontal="center" vertical="center"/>
    </xf>
    <xf numFmtId="0" fontId="8" fillId="11" borderId="51" xfId="5" applyFont="1" applyFill="1" applyBorder="1" applyAlignment="1">
      <alignment horizontal="left" vertical="center" wrapText="1" indent="1"/>
    </xf>
    <xf numFmtId="0" fontId="0" fillId="11" borderId="56" xfId="0" applyFill="1" applyBorder="1" applyAlignment="1">
      <alignment horizontal="center" vertical="center"/>
    </xf>
    <xf numFmtId="0" fontId="12" fillId="11" borderId="1" xfId="0" applyFont="1" applyFill="1" applyBorder="1" applyAlignment="1">
      <alignment horizontal="center" vertical="center"/>
    </xf>
    <xf numFmtId="0" fontId="12" fillId="11" borderId="46" xfId="0" applyFont="1" applyFill="1" applyBorder="1" applyAlignment="1">
      <alignment horizontal="center"/>
    </xf>
    <xf numFmtId="0" fontId="0" fillId="10" borderId="107" xfId="0" applyFill="1" applyBorder="1" applyAlignment="1">
      <alignment horizontal="center"/>
    </xf>
    <xf numFmtId="0" fontId="0" fillId="10" borderId="24" xfId="0" applyFill="1" applyBorder="1" applyAlignment="1">
      <alignment horizontal="center" vertical="center" wrapText="1"/>
    </xf>
    <xf numFmtId="0" fontId="0" fillId="12" borderId="64" xfId="0" applyFill="1" applyBorder="1" applyAlignment="1">
      <alignment horizontal="center" vertical="center"/>
    </xf>
    <xf numFmtId="0" fontId="8" fillId="12" borderId="49" xfId="5" applyFont="1" applyFill="1" applyBorder="1" applyAlignment="1">
      <alignment horizontal="left" vertical="center" wrapText="1" indent="1"/>
    </xf>
    <xf numFmtId="0" fontId="0" fillId="12" borderId="71" xfId="0" applyFill="1" applyBorder="1" applyAlignment="1">
      <alignment horizontal="center" vertical="center"/>
    </xf>
    <xf numFmtId="0" fontId="8" fillId="12" borderId="51" xfId="5" applyFont="1" applyFill="1" applyBorder="1" applyAlignment="1">
      <alignment horizontal="left" vertical="center" wrapText="1" indent="1"/>
    </xf>
    <xf numFmtId="0" fontId="0" fillId="12" borderId="56" xfId="0" applyFill="1" applyBorder="1" applyAlignment="1">
      <alignment horizontal="center" vertical="center"/>
    </xf>
    <xf numFmtId="0" fontId="12" fillId="12" borderId="42" xfId="0" applyFont="1" applyFill="1" applyBorder="1" applyAlignment="1">
      <alignment horizontal="center"/>
    </xf>
    <xf numFmtId="0" fontId="12" fillId="12" borderId="46" xfId="0" applyFont="1" applyFill="1" applyBorder="1" applyAlignment="1">
      <alignment horizontal="center"/>
    </xf>
    <xf numFmtId="0" fontId="0" fillId="13" borderId="64" xfId="0" applyFill="1" applyBorder="1" applyAlignment="1">
      <alignment horizontal="center" vertical="center"/>
    </xf>
    <xf numFmtId="0" fontId="8" fillId="13" borderId="49" xfId="5" applyFont="1" applyFill="1" applyBorder="1" applyAlignment="1">
      <alignment horizontal="left" vertical="center" wrapText="1" indent="1"/>
    </xf>
    <xf numFmtId="0" fontId="8" fillId="13" borderId="50" xfId="5" applyFont="1" applyFill="1" applyBorder="1" applyAlignment="1">
      <alignment horizontal="left" vertical="center" wrapText="1" indent="1"/>
    </xf>
    <xf numFmtId="0" fontId="0" fillId="13" borderId="71" xfId="0" applyFill="1" applyBorder="1" applyAlignment="1">
      <alignment horizontal="center" vertical="center"/>
    </xf>
    <xf numFmtId="0" fontId="8" fillId="13" borderId="51" xfId="5" applyFont="1" applyFill="1" applyBorder="1" applyAlignment="1">
      <alignment horizontal="left" vertical="center" wrapText="1" indent="1"/>
    </xf>
    <xf numFmtId="0" fontId="0" fillId="13" borderId="49" xfId="0" applyFill="1" applyBorder="1" applyAlignment="1">
      <alignment horizontal="center" vertical="center"/>
    </xf>
    <xf numFmtId="0" fontId="0" fillId="13" borderId="50" xfId="0" applyFill="1" applyBorder="1" applyAlignment="1">
      <alignment horizontal="center" vertical="center"/>
    </xf>
    <xf numFmtId="0" fontId="0" fillId="13" borderId="51" xfId="0" applyFill="1" applyBorder="1" applyAlignment="1">
      <alignment horizontal="center" vertical="center"/>
    </xf>
    <xf numFmtId="0" fontId="12" fillId="13" borderId="46" xfId="0" applyFont="1" applyFill="1" applyBorder="1" applyAlignment="1">
      <alignment horizontal="center"/>
    </xf>
    <xf numFmtId="0" fontId="0" fillId="14" borderId="64" xfId="0" applyFill="1" applyBorder="1" applyAlignment="1">
      <alignment horizontal="center" vertical="center"/>
    </xf>
    <xf numFmtId="0" fontId="8" fillId="14" borderId="49" xfId="5" applyFont="1" applyFill="1" applyBorder="1" applyAlignment="1">
      <alignment horizontal="left" vertical="center" wrapText="1" indent="1"/>
    </xf>
    <xf numFmtId="0" fontId="8" fillId="14" borderId="50" xfId="5" applyFont="1" applyFill="1" applyBorder="1" applyAlignment="1">
      <alignment horizontal="left" vertical="center" wrapText="1" indent="1"/>
    </xf>
    <xf numFmtId="0" fontId="0" fillId="14" borderId="71" xfId="0" applyFill="1" applyBorder="1" applyAlignment="1">
      <alignment horizontal="center" vertical="center"/>
    </xf>
    <xf numFmtId="0" fontId="8" fillId="14" borderId="51" xfId="5" applyFont="1" applyFill="1" applyBorder="1" applyAlignment="1">
      <alignment horizontal="left" vertical="center" wrapText="1" indent="1"/>
    </xf>
    <xf numFmtId="0" fontId="0" fillId="14" borderId="56" xfId="0" applyFill="1" applyBorder="1" applyAlignment="1">
      <alignment horizontal="center" vertical="center"/>
    </xf>
    <xf numFmtId="0" fontId="12" fillId="14" borderId="42" xfId="0" applyFont="1" applyFill="1" applyBorder="1" applyAlignment="1">
      <alignment horizontal="center"/>
    </xf>
    <xf numFmtId="0" fontId="12" fillId="14" borderId="46" xfId="0" applyFont="1" applyFill="1" applyBorder="1" applyAlignment="1">
      <alignment horizontal="center"/>
    </xf>
    <xf numFmtId="0" fontId="12" fillId="0" borderId="0" xfId="0" applyFont="1" applyAlignment="1">
      <alignment horizontal="center"/>
    </xf>
    <xf numFmtId="3" fontId="8" fillId="0" borderId="0" xfId="8" applyNumberFormat="1" applyFont="1"/>
    <xf numFmtId="0" fontId="3" fillId="0" borderId="0" xfId="5" applyFont="1" applyAlignment="1">
      <alignment vertical="center"/>
    </xf>
    <xf numFmtId="0" fontId="6" fillId="0" borderId="0" xfId="12" applyFont="1" applyAlignment="1">
      <alignment vertical="center"/>
    </xf>
    <xf numFmtId="0" fontId="36" fillId="0" borderId="0" xfId="12" applyFont="1" applyAlignment="1">
      <alignment vertical="center"/>
    </xf>
    <xf numFmtId="0" fontId="44" fillId="0" borderId="57" xfId="12" applyFont="1" applyBorder="1" applyAlignment="1">
      <alignment horizontal="centerContinuous" vertical="center"/>
    </xf>
    <xf numFmtId="0" fontId="44" fillId="0" borderId="58" xfId="12" applyFont="1" applyBorder="1" applyAlignment="1">
      <alignment horizontal="centerContinuous" vertical="center"/>
    </xf>
    <xf numFmtId="0" fontId="44" fillId="0" borderId="85" xfId="12" applyFont="1" applyBorder="1" applyAlignment="1">
      <alignment horizontal="center" vertical="center" wrapText="1"/>
    </xf>
    <xf numFmtId="0" fontId="44" fillId="0" borderId="23" xfId="12" applyFont="1" applyBorder="1" applyAlignment="1">
      <alignment horizontal="center" vertical="center" wrapText="1"/>
    </xf>
    <xf numFmtId="0" fontId="8" fillId="0" borderId="110" xfId="5" applyFont="1" applyBorder="1" applyAlignment="1">
      <alignment horizontal="center" vertical="center" wrapText="1"/>
    </xf>
    <xf numFmtId="0" fontId="6" fillId="0" borderId="12" xfId="12" applyFont="1" applyBorder="1" applyAlignment="1">
      <alignment horizontal="left" vertical="center" indent="1"/>
    </xf>
    <xf numFmtId="3" fontId="6" fillId="0" borderId="44" xfId="12" applyNumberFormat="1" applyFont="1" applyBorder="1" applyAlignment="1">
      <alignment horizontal="right" vertical="center" indent="1"/>
    </xf>
    <xf numFmtId="3" fontId="6" fillId="0" borderId="17" xfId="12" applyNumberFormat="1" applyFont="1" applyBorder="1" applyAlignment="1">
      <alignment horizontal="right" vertical="center" indent="1"/>
    </xf>
    <xf numFmtId="3" fontId="6" fillId="0" borderId="12" xfId="12" applyNumberFormat="1" applyFont="1" applyBorder="1" applyAlignment="1">
      <alignment horizontal="right" vertical="center" indent="1"/>
    </xf>
    <xf numFmtId="0" fontId="8" fillId="0" borderId="111" xfId="5" applyFont="1" applyBorder="1" applyAlignment="1">
      <alignment horizontal="center" vertical="center" wrapText="1"/>
    </xf>
    <xf numFmtId="0" fontId="6" fillId="0" borderId="19" xfId="12" applyFont="1" applyBorder="1" applyAlignment="1">
      <alignment horizontal="left" vertical="center" indent="1"/>
    </xf>
    <xf numFmtId="0" fontId="8" fillId="0" borderId="112" xfId="5" applyFont="1" applyBorder="1" applyAlignment="1">
      <alignment horizontal="center" vertical="center" wrapText="1"/>
    </xf>
    <xf numFmtId="0" fontId="6" fillId="0" borderId="37" xfId="12" applyFont="1" applyBorder="1" applyAlignment="1">
      <alignment horizontal="left" vertical="center" indent="1"/>
    </xf>
    <xf numFmtId="3" fontId="6" fillId="0" borderId="65" xfId="12" applyNumberFormat="1" applyFont="1" applyBorder="1" applyAlignment="1">
      <alignment horizontal="right" vertical="center" indent="1"/>
    </xf>
    <xf numFmtId="3" fontId="6" fillId="0" borderId="66" xfId="12" applyNumberFormat="1" applyFont="1" applyBorder="1" applyAlignment="1">
      <alignment horizontal="right" vertical="center" indent="1"/>
    </xf>
    <xf numFmtId="0" fontId="6" fillId="0" borderId="71" xfId="12" applyFont="1" applyBorder="1" applyAlignment="1">
      <alignment vertical="center"/>
    </xf>
    <xf numFmtId="0" fontId="5" fillId="0" borderId="4" xfId="12" applyFont="1" applyBorder="1" applyAlignment="1">
      <alignment horizontal="left" vertical="center" indent="1"/>
    </xf>
    <xf numFmtId="3" fontId="5" fillId="0" borderId="41" xfId="12" applyNumberFormat="1" applyFont="1" applyBorder="1" applyAlignment="1">
      <alignment horizontal="right" vertical="center" indent="1"/>
    </xf>
    <xf numFmtId="3" fontId="5" fillId="0" borderId="2" xfId="12" applyNumberFormat="1" applyFont="1" applyBorder="1" applyAlignment="1">
      <alignment horizontal="right" vertical="center" indent="1"/>
    </xf>
    <xf numFmtId="3" fontId="5" fillId="0" borderId="4" xfId="12" applyNumberFormat="1" applyFont="1" applyBorder="1" applyAlignment="1">
      <alignment horizontal="right" vertical="center" indent="1"/>
    </xf>
    <xf numFmtId="0" fontId="6" fillId="0" borderId="0" xfId="0" applyFont="1" applyAlignment="1">
      <alignment vertical="center"/>
    </xf>
    <xf numFmtId="0" fontId="6" fillId="0" borderId="14" xfId="12" applyFont="1" applyBorder="1" applyAlignment="1">
      <alignment vertical="center"/>
    </xf>
    <xf numFmtId="0" fontId="6" fillId="0" borderId="21" xfId="12" applyFont="1" applyBorder="1" applyAlignment="1">
      <alignment vertical="center"/>
    </xf>
    <xf numFmtId="0" fontId="6" fillId="0" borderId="54" xfId="12" applyFont="1" applyBorder="1" applyAlignment="1">
      <alignment vertical="center"/>
    </xf>
    <xf numFmtId="0" fontId="6" fillId="0" borderId="16" xfId="12" applyFont="1" applyBorder="1" applyAlignment="1">
      <alignment vertical="center"/>
    </xf>
    <xf numFmtId="4" fontId="6" fillId="0" borderId="16" xfId="12" applyNumberFormat="1" applyFont="1" applyBorder="1" applyAlignment="1">
      <alignment horizontal="right" vertical="center" indent="1"/>
    </xf>
    <xf numFmtId="0" fontId="6" fillId="0" borderId="17" xfId="12" applyFont="1" applyBorder="1" applyAlignment="1">
      <alignment vertical="center"/>
    </xf>
    <xf numFmtId="0" fontId="6" fillId="0" borderId="18" xfId="12" applyFont="1" applyBorder="1" applyAlignment="1">
      <alignment vertical="center"/>
    </xf>
    <xf numFmtId="0" fontId="6" fillId="0" borderId="93" xfId="12" applyFont="1" applyBorder="1" applyAlignment="1">
      <alignment vertical="center"/>
    </xf>
    <xf numFmtId="0" fontId="6" fillId="0" borderId="44" xfId="12" applyFont="1" applyBorder="1" applyAlignment="1">
      <alignment vertical="center"/>
    </xf>
    <xf numFmtId="3" fontId="6" fillId="0" borderId="16" xfId="12" applyNumberFormat="1" applyFont="1" applyBorder="1" applyAlignment="1">
      <alignment horizontal="right" vertical="center" indent="1"/>
    </xf>
    <xf numFmtId="0" fontId="7" fillId="0" borderId="0" xfId="8" applyFont="1" applyAlignment="1">
      <alignment horizontal="right"/>
    </xf>
    <xf numFmtId="0" fontId="8" fillId="0" borderId="13" xfId="8" applyFont="1" applyBorder="1" applyAlignment="1">
      <alignment horizontal="center" vertical="center"/>
    </xf>
    <xf numFmtId="0" fontId="8" fillId="0" borderId="0" xfId="8" applyFont="1" applyAlignment="1">
      <alignment horizontal="left" vertical="center"/>
    </xf>
    <xf numFmtId="0" fontId="7" fillId="0" borderId="0" xfId="8" applyFont="1" applyAlignment="1">
      <alignment horizontal="center" vertical="center"/>
    </xf>
    <xf numFmtId="0" fontId="33" fillId="0" borderId="0" xfId="5" applyFont="1" applyAlignment="1">
      <alignment horizontal="left" vertical="center" wrapText="1"/>
    </xf>
    <xf numFmtId="0" fontId="8" fillId="0" borderId="0" xfId="5" applyFont="1"/>
    <xf numFmtId="0" fontId="8" fillId="0" borderId="21" xfId="5" applyFont="1" applyBorder="1"/>
    <xf numFmtId="0" fontId="8" fillId="0" borderId="54" xfId="5" applyFont="1" applyBorder="1"/>
    <xf numFmtId="0" fontId="8" fillId="0" borderId="16" xfId="5" applyFont="1" applyBorder="1"/>
    <xf numFmtId="3" fontId="8" fillId="0" borderId="14" xfId="5" applyNumberFormat="1" applyFont="1" applyBorder="1" applyAlignment="1">
      <alignment horizontal="right" indent="1"/>
    </xf>
    <xf numFmtId="170" fontId="8" fillId="0" borderId="14" xfId="5" applyNumberFormat="1" applyFont="1" applyBorder="1" applyAlignment="1">
      <alignment horizontal="right" indent="1"/>
    </xf>
    <xf numFmtId="0" fontId="38" fillId="0" borderId="0" xfId="5" applyFont="1" applyAlignment="1">
      <alignment horizontal="left"/>
    </xf>
    <xf numFmtId="170" fontId="38" fillId="0" borderId="0" xfId="5" applyNumberFormat="1" applyFont="1" applyAlignment="1">
      <alignment horizontal="right"/>
    </xf>
    <xf numFmtId="0" fontId="38" fillId="0" borderId="0" xfId="5" applyFont="1"/>
    <xf numFmtId="0" fontId="38" fillId="0" borderId="0" xfId="5" applyFont="1" applyAlignment="1">
      <alignment horizontal="right" indent="1"/>
    </xf>
    <xf numFmtId="0" fontId="7" fillId="0" borderId="85" xfId="5" applyFont="1" applyBorder="1" applyAlignment="1">
      <alignment horizontal="center" vertical="center" wrapText="1"/>
    </xf>
    <xf numFmtId="0" fontId="7" fillId="0" borderId="24" xfId="5" applyFont="1" applyBorder="1" applyAlignment="1">
      <alignment horizontal="center" vertical="center" wrapText="1"/>
    </xf>
    <xf numFmtId="49" fontId="48" fillId="0" borderId="43" xfId="5" applyNumberFormat="1" applyFont="1" applyBorder="1" applyAlignment="1">
      <alignment horizontal="center" vertical="center"/>
    </xf>
    <xf numFmtId="0" fontId="48" fillId="0" borderId="12" xfId="5" applyFont="1" applyBorder="1" applyAlignment="1">
      <alignment horizontal="left" vertical="center" indent="1"/>
    </xf>
    <xf numFmtId="3" fontId="6" fillId="0" borderId="44" xfId="6" applyNumberFormat="1" applyFont="1" applyBorder="1" applyAlignment="1">
      <alignment horizontal="right" vertical="center" indent="1"/>
    </xf>
    <xf numFmtId="3" fontId="6" fillId="0" borderId="18" xfId="6" applyNumberFormat="1" applyFont="1" applyBorder="1" applyAlignment="1">
      <alignment horizontal="right" vertical="center" indent="1"/>
    </xf>
    <xf numFmtId="3" fontId="7" fillId="0" borderId="113" xfId="5" applyNumberFormat="1" applyFont="1" applyBorder="1" applyAlignment="1">
      <alignment horizontal="right" vertical="center" indent="1"/>
    </xf>
    <xf numFmtId="49" fontId="48" fillId="0" borderId="20" xfId="5" applyNumberFormat="1" applyFont="1" applyBorder="1" applyAlignment="1">
      <alignment horizontal="center" vertical="center"/>
    </xf>
    <xf numFmtId="0" fontId="48" fillId="0" borderId="19" xfId="5" applyFont="1" applyBorder="1" applyAlignment="1">
      <alignment horizontal="left" vertical="center" indent="1"/>
    </xf>
    <xf numFmtId="3" fontId="6" fillId="0" borderId="16" xfId="6" applyNumberFormat="1" applyFont="1" applyBorder="1" applyAlignment="1">
      <alignment horizontal="right" vertical="center" indent="1"/>
    </xf>
    <xf numFmtId="3" fontId="6" fillId="0" borderId="21" xfId="6" applyNumberFormat="1" applyFont="1" applyBorder="1" applyAlignment="1">
      <alignment horizontal="right" vertical="center" indent="1"/>
    </xf>
    <xf numFmtId="3" fontId="6" fillId="0" borderId="16" xfId="5" applyNumberFormat="1" applyFont="1" applyBorder="1" applyAlignment="1">
      <alignment horizontal="right" vertical="center" indent="1"/>
    </xf>
    <xf numFmtId="3" fontId="6" fillId="0" borderId="21" xfId="5" applyNumberFormat="1" applyFont="1" applyBorder="1" applyAlignment="1">
      <alignment horizontal="right" vertical="center" indent="1"/>
    </xf>
    <xf numFmtId="3" fontId="7" fillId="0" borderId="113" xfId="5" quotePrefix="1" applyNumberFormat="1" applyFont="1" applyBorder="1" applyAlignment="1">
      <alignment horizontal="right" vertical="center" indent="1"/>
    </xf>
    <xf numFmtId="49" fontId="48" fillId="0" borderId="33" xfId="5" applyNumberFormat="1" applyFont="1" applyBorder="1" applyAlignment="1">
      <alignment horizontal="center" vertical="center"/>
    </xf>
    <xf numFmtId="0" fontId="48" fillId="0" borderId="37" xfId="5" applyFont="1" applyBorder="1" applyAlignment="1">
      <alignment horizontal="left" vertical="center" indent="1"/>
    </xf>
    <xf numFmtId="3" fontId="8" fillId="0" borderId="36" xfId="5" applyNumberFormat="1" applyFont="1" applyBorder="1" applyAlignment="1">
      <alignment horizontal="right" vertical="center" indent="1"/>
    </xf>
    <xf numFmtId="3" fontId="8" fillId="0" borderId="35" xfId="5" applyNumberFormat="1" applyFont="1" applyBorder="1" applyAlignment="1">
      <alignment horizontal="right" vertical="center" indent="1"/>
    </xf>
    <xf numFmtId="3" fontId="7" fillId="0" borderId="41" xfId="5" applyNumberFormat="1" applyFont="1" applyBorder="1" applyAlignment="1">
      <alignment horizontal="right" vertical="center" indent="1"/>
    </xf>
    <xf numFmtId="3" fontId="7" fillId="0" borderId="3" xfId="5" applyNumberFormat="1" applyFont="1" applyBorder="1" applyAlignment="1">
      <alignment horizontal="right" vertical="center" indent="1"/>
    </xf>
    <xf numFmtId="3" fontId="7" fillId="0" borderId="46" xfId="5" applyNumberFormat="1" applyFont="1" applyBorder="1" applyAlignment="1">
      <alignment horizontal="right" vertical="center" indent="1"/>
    </xf>
    <xf numFmtId="0" fontId="8" fillId="0" borderId="0" xfId="8" applyFont="1" applyAlignment="1">
      <alignment vertical="center"/>
    </xf>
    <xf numFmtId="0" fontId="38" fillId="0" borderId="21" xfId="8" applyFont="1" applyBorder="1" applyAlignment="1">
      <alignment vertical="center"/>
    </xf>
    <xf numFmtId="0" fontId="38" fillId="0" borderId="54" xfId="8" applyFont="1" applyBorder="1" applyAlignment="1">
      <alignment vertical="center"/>
    </xf>
    <xf numFmtId="0" fontId="38" fillId="0" borderId="16" xfId="8" applyFont="1" applyBorder="1" applyAlignment="1">
      <alignment vertical="center"/>
    </xf>
    <xf numFmtId="3" fontId="38" fillId="0" borderId="14" xfId="8" applyNumberFormat="1" applyFont="1" applyBorder="1" applyAlignment="1">
      <alignment horizontal="right" vertical="center" indent="1"/>
    </xf>
    <xf numFmtId="10" fontId="38" fillId="0" borderId="14" xfId="1" applyNumberFormat="1" applyFont="1" applyBorder="1" applyAlignment="1">
      <alignment horizontal="right" vertical="center" indent="1"/>
    </xf>
    <xf numFmtId="0" fontId="38" fillId="0" borderId="0" xfId="8" applyFont="1" applyAlignment="1">
      <alignment vertical="center"/>
    </xf>
    <xf numFmtId="0" fontId="49" fillId="0" borderId="0" xfId="8" applyFont="1" applyAlignment="1">
      <alignment vertical="center"/>
    </xf>
    <xf numFmtId="169" fontId="38" fillId="0" borderId="0" xfId="8" applyNumberFormat="1" applyFont="1" applyAlignment="1">
      <alignment horizontal="right" vertical="center"/>
    </xf>
    <xf numFmtId="0" fontId="50" fillId="0" borderId="0" xfId="8" applyFont="1" applyAlignment="1">
      <alignment horizontal="center" vertical="center"/>
    </xf>
    <xf numFmtId="0" fontId="38" fillId="0" borderId="0" xfId="8" applyFont="1" applyAlignment="1">
      <alignment horizontal="right" vertical="center"/>
    </xf>
    <xf numFmtId="0" fontId="48" fillId="0" borderId="37" xfId="8" applyFont="1" applyBorder="1" applyAlignment="1">
      <alignment horizontal="left" vertical="center" indent="1"/>
    </xf>
    <xf numFmtId="0" fontId="52" fillId="0" borderId="0" xfId="8" applyFont="1" applyAlignment="1">
      <alignment vertical="center"/>
    </xf>
    <xf numFmtId="166" fontId="53" fillId="0" borderId="0" xfId="8" applyNumberFormat="1" applyFont="1" applyAlignment="1">
      <alignment vertical="center"/>
    </xf>
    <xf numFmtId="3" fontId="0" fillId="0" borderId="19" xfId="0" applyNumberFormat="1" applyBorder="1" applyAlignment="1">
      <alignment horizontal="right" indent="1"/>
    </xf>
    <xf numFmtId="10" fontId="0" fillId="0" borderId="15" xfId="1" applyNumberFormat="1" applyFont="1" applyBorder="1" applyAlignment="1">
      <alignment horizontal="right" indent="1"/>
    </xf>
    <xf numFmtId="3" fontId="0" fillId="0" borderId="20" xfId="0" applyNumberFormat="1" applyBorder="1" applyAlignment="1">
      <alignment horizontal="right" indent="1"/>
    </xf>
    <xf numFmtId="10" fontId="0" fillId="0" borderId="19" xfId="1" applyNumberFormat="1" applyFont="1" applyBorder="1" applyAlignment="1">
      <alignment horizontal="right" indent="1"/>
    </xf>
    <xf numFmtId="0" fontId="17" fillId="6" borderId="42" xfId="10" applyFont="1" applyFill="1" applyBorder="1" applyAlignment="1">
      <alignment vertical="center"/>
    </xf>
    <xf numFmtId="3" fontId="25" fillId="6" borderId="1" xfId="10" applyNumberFormat="1" applyFont="1" applyFill="1" applyBorder="1" applyAlignment="1">
      <alignment vertical="center"/>
    </xf>
    <xf numFmtId="3" fontId="25" fillId="6" borderId="2" xfId="10" applyNumberFormat="1" applyFont="1" applyFill="1" applyBorder="1" applyAlignment="1">
      <alignment vertical="center"/>
    </xf>
    <xf numFmtId="0" fontId="14" fillId="6" borderId="3" xfId="10" applyFont="1" applyFill="1" applyBorder="1" applyAlignment="1">
      <alignment vertical="center"/>
    </xf>
    <xf numFmtId="3" fontId="15" fillId="6" borderId="77" xfId="10" applyNumberFormat="1" applyFont="1" applyFill="1" applyBorder="1" applyAlignment="1">
      <alignment vertical="center"/>
    </xf>
    <xf numFmtId="0" fontId="15" fillId="6" borderId="77" xfId="10" applyFont="1" applyFill="1" applyBorder="1" applyAlignment="1">
      <alignment vertical="center"/>
    </xf>
    <xf numFmtId="3" fontId="33" fillId="8" borderId="94" xfId="10" applyNumberFormat="1" applyFont="1" applyFill="1" applyBorder="1" applyAlignment="1">
      <alignment horizontal="right" vertical="center"/>
    </xf>
    <xf numFmtId="3" fontId="33" fillId="7" borderId="95" xfId="10" applyNumberFormat="1" applyFont="1" applyFill="1" applyBorder="1" applyAlignment="1">
      <alignment horizontal="right" vertical="center"/>
    </xf>
    <xf numFmtId="3" fontId="33" fillId="9" borderId="95" xfId="10" applyNumberFormat="1" applyFont="1" applyFill="1" applyBorder="1" applyAlignment="1">
      <alignment horizontal="right" vertical="center"/>
    </xf>
    <xf numFmtId="0" fontId="5" fillId="0" borderId="0" xfId="10" applyFont="1" applyAlignment="1">
      <alignment horizontal="left" vertical="center"/>
    </xf>
    <xf numFmtId="0" fontId="23" fillId="6" borderId="13" xfId="10" applyFont="1" applyFill="1" applyBorder="1" applyAlignment="1">
      <alignment vertical="center"/>
    </xf>
    <xf numFmtId="0" fontId="23" fillId="6" borderId="10" xfId="10" applyFont="1" applyFill="1" applyBorder="1" applyAlignment="1">
      <alignment vertical="center"/>
    </xf>
    <xf numFmtId="0" fontId="6" fillId="6" borderId="11" xfId="10" applyFont="1" applyFill="1" applyBorder="1" applyAlignment="1">
      <alignment vertical="center"/>
    </xf>
    <xf numFmtId="0" fontId="14" fillId="6" borderId="8" xfId="10" applyFont="1" applyFill="1" applyBorder="1" applyAlignment="1">
      <alignment vertical="center"/>
    </xf>
    <xf numFmtId="166" fontId="26" fillId="6" borderId="9" xfId="10" applyNumberFormat="1" applyFont="1" applyFill="1" applyBorder="1" applyAlignment="1">
      <alignment horizontal="right" vertical="center"/>
    </xf>
    <xf numFmtId="166" fontId="26" fillId="6" borderId="11" xfId="10" applyNumberFormat="1" applyFont="1" applyFill="1" applyBorder="1" applyAlignment="1">
      <alignment horizontal="right" vertical="center"/>
    </xf>
    <xf numFmtId="166" fontId="26" fillId="6" borderId="15" xfId="10" applyNumberFormat="1" applyFont="1" applyFill="1" applyBorder="1" applyAlignment="1">
      <alignment horizontal="right" vertical="center"/>
    </xf>
    <xf numFmtId="3" fontId="6" fillId="7" borderId="115" xfId="10" applyNumberFormat="1" applyFont="1" applyFill="1" applyBorder="1" applyAlignment="1">
      <alignment horizontal="right" vertical="center"/>
    </xf>
    <xf numFmtId="10" fontId="0" fillId="0" borderId="0" xfId="1" applyNumberFormat="1" applyFont="1"/>
    <xf numFmtId="0" fontId="6" fillId="6" borderId="0" xfId="10" applyFont="1" applyFill="1" applyAlignment="1">
      <alignment horizontal="center" vertical="center"/>
    </xf>
    <xf numFmtId="0" fontId="6" fillId="0" borderId="24" xfId="10" applyFont="1" applyBorder="1" applyAlignment="1">
      <alignment horizontal="left" vertical="center"/>
    </xf>
    <xf numFmtId="0" fontId="6" fillId="0" borderId="84" xfId="10" applyFont="1" applyBorder="1" applyAlignment="1">
      <alignment horizontal="left" vertical="center"/>
    </xf>
    <xf numFmtId="0" fontId="3" fillId="0" borderId="0" xfId="0" applyFont="1" applyAlignment="1">
      <alignment horizontal="left" vertical="center"/>
    </xf>
    <xf numFmtId="0" fontId="0" fillId="0" borderId="0" xfId="0" applyAlignment="1">
      <alignment vertical="center"/>
    </xf>
    <xf numFmtId="0" fontId="0" fillId="0" borderId="0" xfId="0" applyAlignment="1">
      <alignment horizontal="left" vertical="center"/>
    </xf>
    <xf numFmtId="0" fontId="36" fillId="0" borderId="0" xfId="0" applyFont="1" applyAlignment="1">
      <alignment horizontal="left" vertical="center"/>
    </xf>
    <xf numFmtId="0" fontId="5" fillId="0" borderId="0" xfId="0" applyFont="1" applyAlignment="1">
      <alignment vertical="center"/>
    </xf>
    <xf numFmtId="0" fontId="5" fillId="0" borderId="0" xfId="0" applyFont="1" applyAlignment="1">
      <alignment horizontal="left" vertical="center"/>
    </xf>
    <xf numFmtId="0" fontId="5" fillId="0" borderId="0" xfId="0" applyFont="1" applyAlignment="1">
      <alignment horizontal="center" vertical="center"/>
    </xf>
    <xf numFmtId="0" fontId="0" fillId="0" borderId="0" xfId="0" applyAlignment="1">
      <alignment horizontal="right" vertical="center"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6" fillId="0" borderId="43" xfId="0" applyFont="1" applyBorder="1" applyAlignment="1">
      <alignment horizontal="center" vertical="center"/>
    </xf>
    <xf numFmtId="0" fontId="6" fillId="0" borderId="19" xfId="0" applyFont="1" applyBorder="1" applyAlignment="1">
      <alignment horizontal="left" vertical="center" indent="1"/>
    </xf>
    <xf numFmtId="0" fontId="6" fillId="0" borderId="20" xfId="0" applyFont="1" applyBorder="1" applyAlignment="1">
      <alignment horizontal="center" vertical="center"/>
    </xf>
    <xf numFmtId="0" fontId="6" fillId="6" borderId="19" xfId="0" applyFont="1" applyFill="1" applyBorder="1" applyAlignment="1">
      <alignment horizontal="left" vertical="center" indent="1"/>
    </xf>
    <xf numFmtId="0" fontId="6" fillId="0" borderId="22" xfId="0" applyFont="1" applyBorder="1" applyAlignment="1">
      <alignment horizontal="center" vertical="center"/>
    </xf>
    <xf numFmtId="0" fontId="0" fillId="0" borderId="85"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43" xfId="0" applyBorder="1" applyAlignment="1">
      <alignment horizontal="center"/>
    </xf>
    <xf numFmtId="0" fontId="0" fillId="0" borderId="12" xfId="0" applyBorder="1"/>
    <xf numFmtId="3" fontId="0" fillId="0" borderId="44" xfId="0" applyNumberFormat="1" applyBorder="1" applyAlignment="1">
      <alignment horizontal="right" indent="1"/>
    </xf>
    <xf numFmtId="10" fontId="0" fillId="0" borderId="18" xfId="1" applyNumberFormat="1" applyFont="1" applyBorder="1" applyAlignment="1">
      <alignment horizontal="right" indent="1"/>
    </xf>
    <xf numFmtId="3" fontId="0" fillId="0" borderId="43" xfId="0" applyNumberFormat="1" applyBorder="1" applyAlignment="1">
      <alignment horizontal="right" indent="1"/>
    </xf>
    <xf numFmtId="10" fontId="0" fillId="0" borderId="12" xfId="1" applyNumberFormat="1" applyFont="1" applyBorder="1" applyAlignment="1">
      <alignment horizontal="right" indent="1"/>
    </xf>
    <xf numFmtId="10" fontId="0" fillId="0" borderId="44" xfId="1" applyNumberFormat="1" applyFont="1" applyBorder="1" applyAlignment="1">
      <alignment horizontal="right" indent="1"/>
    </xf>
    <xf numFmtId="3" fontId="0" fillId="0" borderId="12" xfId="0" applyNumberFormat="1" applyBorder="1" applyAlignment="1">
      <alignment horizontal="right" indent="1"/>
    </xf>
    <xf numFmtId="0" fontId="0" fillId="0" borderId="20" xfId="0" applyBorder="1" applyAlignment="1">
      <alignment horizontal="center"/>
    </xf>
    <xf numFmtId="0" fontId="0" fillId="0" borderId="19" xfId="0" applyBorder="1"/>
    <xf numFmtId="3" fontId="0" fillId="0" borderId="16" xfId="0" applyNumberFormat="1" applyBorder="1" applyAlignment="1">
      <alignment horizontal="right" indent="1"/>
    </xf>
    <xf numFmtId="10" fontId="0" fillId="0" borderId="21" xfId="1" applyNumberFormat="1" applyFont="1" applyBorder="1" applyAlignment="1">
      <alignment horizontal="right" indent="1"/>
    </xf>
    <xf numFmtId="10" fontId="0" fillId="0" borderId="16" xfId="1" applyNumberFormat="1" applyFont="1" applyBorder="1" applyAlignment="1">
      <alignment horizontal="right" indent="1"/>
    </xf>
    <xf numFmtId="0" fontId="0" fillId="0" borderId="33" xfId="0" applyBorder="1" applyAlignment="1">
      <alignment horizontal="center"/>
    </xf>
    <xf numFmtId="0" fontId="0" fillId="0" borderId="37" xfId="0" applyBorder="1"/>
    <xf numFmtId="3" fontId="0" fillId="0" borderId="36" xfId="0" applyNumberFormat="1" applyBorder="1" applyAlignment="1">
      <alignment horizontal="right" indent="1"/>
    </xf>
    <xf numFmtId="10" fontId="0" fillId="0" borderId="35" xfId="1" applyNumberFormat="1" applyFont="1" applyBorder="1" applyAlignment="1">
      <alignment horizontal="right" indent="1"/>
    </xf>
    <xf numFmtId="3" fontId="0" fillId="0" borderId="33" xfId="0" applyNumberFormat="1" applyBorder="1" applyAlignment="1">
      <alignment horizontal="right" indent="1"/>
    </xf>
    <xf numFmtId="10" fontId="0" fillId="0" borderId="37" xfId="1" applyNumberFormat="1" applyFont="1" applyBorder="1" applyAlignment="1">
      <alignment horizontal="right" indent="1"/>
    </xf>
    <xf numFmtId="10" fontId="0" fillId="0" borderId="36" xfId="1" applyNumberFormat="1" applyFont="1" applyBorder="1" applyAlignment="1">
      <alignment horizontal="right" indent="1"/>
    </xf>
    <xf numFmtId="3" fontId="0" fillId="0" borderId="37" xfId="0" applyNumberFormat="1" applyBorder="1" applyAlignment="1">
      <alignment horizontal="right" indent="1"/>
    </xf>
    <xf numFmtId="3" fontId="12" fillId="0" borderId="41" xfId="0" applyNumberFormat="1" applyFont="1" applyBorder="1" applyAlignment="1">
      <alignment horizontal="right" indent="1"/>
    </xf>
    <xf numFmtId="10" fontId="12" fillId="0" borderId="2" xfId="1" applyNumberFormat="1" applyFont="1" applyBorder="1" applyAlignment="1">
      <alignment horizontal="right" indent="1"/>
    </xf>
    <xf numFmtId="3" fontId="12" fillId="0" borderId="1" xfId="0" applyNumberFormat="1" applyFont="1" applyBorder="1" applyAlignment="1">
      <alignment horizontal="right" indent="1"/>
    </xf>
    <xf numFmtId="10" fontId="12" fillId="0" borderId="4" xfId="1" applyNumberFormat="1" applyFont="1" applyBorder="1" applyAlignment="1">
      <alignment horizontal="right" indent="1"/>
    </xf>
    <xf numFmtId="3" fontId="12" fillId="0" borderId="4" xfId="0" applyNumberFormat="1" applyFont="1" applyBorder="1" applyAlignment="1">
      <alignment horizontal="right" indent="1"/>
    </xf>
    <xf numFmtId="171" fontId="0" fillId="0" borderId="0" xfId="0" applyNumberFormat="1"/>
    <xf numFmtId="0" fontId="0" fillId="0" borderId="17" xfId="0" applyBorder="1"/>
    <xf numFmtId="0" fontId="0" fillId="0" borderId="14" xfId="0" applyBorder="1"/>
    <xf numFmtId="0" fontId="0" fillId="0" borderId="22" xfId="0" applyBorder="1" applyAlignment="1">
      <alignment horizontal="center"/>
    </xf>
    <xf numFmtId="0" fontId="0" fillId="0" borderId="23" xfId="0" applyBorder="1"/>
    <xf numFmtId="0" fontId="15" fillId="6" borderId="0" xfId="10" applyFont="1" applyFill="1" applyAlignment="1">
      <alignment horizontal="center" vertical="center" wrapText="1"/>
    </xf>
    <xf numFmtId="10" fontId="6" fillId="6" borderId="0" xfId="10" applyNumberFormat="1" applyFont="1" applyFill="1" applyAlignment="1">
      <alignment horizontal="center" vertical="center"/>
    </xf>
    <xf numFmtId="3" fontId="5" fillId="0" borderId="0" xfId="10" applyNumberFormat="1" applyFont="1" applyAlignment="1">
      <alignment horizontal="center" vertical="center"/>
    </xf>
    <xf numFmtId="0" fontId="14" fillId="7" borderId="4" xfId="10" applyFont="1" applyFill="1" applyBorder="1" applyAlignment="1">
      <alignment horizontal="center" vertical="top"/>
    </xf>
    <xf numFmtId="3" fontId="5" fillId="7" borderId="15" xfId="10" applyNumberFormat="1" applyFont="1" applyFill="1" applyBorder="1" applyAlignment="1">
      <alignment horizontal="center" vertical="center"/>
    </xf>
    <xf numFmtId="3" fontId="5" fillId="7" borderId="12" xfId="10" applyNumberFormat="1" applyFont="1" applyFill="1" applyBorder="1" applyAlignment="1">
      <alignment horizontal="center" vertical="center"/>
    </xf>
    <xf numFmtId="3" fontId="5" fillId="7" borderId="26" xfId="10" applyNumberFormat="1" applyFont="1" applyFill="1" applyBorder="1" applyAlignment="1">
      <alignment horizontal="center" vertical="center"/>
    </xf>
    <xf numFmtId="0" fontId="8" fillId="0" borderId="0" xfId="8" applyFont="1" applyAlignment="1">
      <alignment horizontal="right"/>
    </xf>
    <xf numFmtId="3" fontId="6" fillId="0" borderId="0" xfId="10" applyNumberFormat="1" applyFont="1" applyAlignment="1">
      <alignment vertical="center"/>
    </xf>
    <xf numFmtId="0" fontId="3" fillId="0" borderId="0" xfId="2" applyFont="1"/>
    <xf numFmtId="0" fontId="57" fillId="0" borderId="0" xfId="2" applyFont="1"/>
    <xf numFmtId="0" fontId="58" fillId="0" borderId="0" xfId="0" applyFont="1"/>
    <xf numFmtId="0" fontId="54" fillId="0" borderId="0" xfId="0" applyFont="1"/>
    <xf numFmtId="0" fontId="8" fillId="0" borderId="0" xfId="0" applyFont="1" applyAlignment="1">
      <alignment horizontal="center"/>
    </xf>
    <xf numFmtId="0" fontId="6" fillId="0" borderId="0" xfId="9" quotePrefix="1" applyFont="1"/>
    <xf numFmtId="0" fontId="8" fillId="0" borderId="0" xfId="0" applyFont="1" applyAlignment="1">
      <alignment horizontal="center" vertical="top"/>
    </xf>
    <xf numFmtId="0" fontId="6" fillId="0" borderId="0" xfId="0" quotePrefix="1" applyFont="1"/>
    <xf numFmtId="0" fontId="6" fillId="0" borderId="0" xfId="9" quotePrefix="1" applyFont="1" applyAlignment="1"/>
    <xf numFmtId="0" fontId="6" fillId="0" borderId="0" xfId="9" applyFont="1" applyAlignment="1"/>
    <xf numFmtId="3" fontId="8" fillId="0" borderId="11" xfId="8" applyNumberFormat="1" applyFont="1" applyBorder="1" applyAlignment="1">
      <alignment horizontal="right" vertical="center" indent="1"/>
    </xf>
    <xf numFmtId="0" fontId="7" fillId="0" borderId="45" xfId="8" applyFont="1" applyBorder="1" applyAlignment="1">
      <alignment horizontal="center" vertical="center"/>
    </xf>
    <xf numFmtId="0" fontId="7" fillId="0" borderId="1" xfId="8" applyFont="1" applyBorder="1" applyAlignment="1">
      <alignment horizontal="center" vertical="center"/>
    </xf>
    <xf numFmtId="0" fontId="7" fillId="0" borderId="41" xfId="8" applyFont="1" applyBorder="1" applyAlignment="1">
      <alignment horizontal="center" vertical="center"/>
    </xf>
    <xf numFmtId="0" fontId="8" fillId="0" borderId="17" xfId="5" applyFont="1" applyBorder="1" applyAlignment="1">
      <alignment horizontal="left" vertical="center"/>
    </xf>
    <xf numFmtId="0" fontId="8" fillId="0" borderId="47" xfId="5" applyFont="1" applyBorder="1" applyAlignment="1">
      <alignment horizontal="left" vertical="center"/>
    </xf>
    <xf numFmtId="0" fontId="8" fillId="0" borderId="14" xfId="5" applyFont="1" applyBorder="1" applyAlignment="1">
      <alignment horizontal="left" vertical="center"/>
    </xf>
    <xf numFmtId="0" fontId="8" fillId="0" borderId="40" xfId="5" applyFont="1" applyBorder="1" applyAlignment="1">
      <alignment horizontal="left" vertical="center"/>
    </xf>
    <xf numFmtId="6" fontId="0" fillId="0" borderId="0" xfId="0" applyNumberFormat="1"/>
    <xf numFmtId="0" fontId="0" fillId="0" borderId="36" xfId="0" applyBorder="1" applyAlignment="1">
      <alignment horizontal="center" vertical="center" wrapText="1"/>
    </xf>
    <xf numFmtId="0" fontId="0" fillId="0" borderId="10" xfId="0" applyBorder="1"/>
    <xf numFmtId="0" fontId="0" fillId="0" borderId="15" xfId="0" applyBorder="1"/>
    <xf numFmtId="3" fontId="0" fillId="0" borderId="9" xfId="0" applyNumberFormat="1" applyBorder="1" applyAlignment="1">
      <alignment horizontal="right" indent="1"/>
    </xf>
    <xf numFmtId="10" fontId="0" fillId="0" borderId="11" xfId="1" applyNumberFormat="1" applyFont="1" applyBorder="1" applyAlignment="1">
      <alignment horizontal="right" indent="1"/>
    </xf>
    <xf numFmtId="3" fontId="0" fillId="0" borderId="13" xfId="0" applyNumberFormat="1" applyBorder="1" applyAlignment="1">
      <alignment horizontal="right" indent="1"/>
    </xf>
    <xf numFmtId="3" fontId="0" fillId="0" borderId="15" xfId="0" applyNumberFormat="1" applyBorder="1" applyAlignment="1">
      <alignment horizontal="right" indent="1"/>
    </xf>
    <xf numFmtId="0" fontId="0" fillId="0" borderId="14" xfId="0" applyBorder="1" applyAlignment="1">
      <alignment horizontal="center"/>
    </xf>
    <xf numFmtId="0" fontId="0" fillId="0" borderId="23" xfId="0" applyBorder="1" applyAlignment="1">
      <alignment horizontal="center"/>
    </xf>
    <xf numFmtId="0" fontId="0" fillId="0" borderId="26" xfId="0" applyBorder="1"/>
    <xf numFmtId="3" fontId="0" fillId="0" borderId="85" xfId="0" applyNumberFormat="1" applyBorder="1" applyAlignment="1">
      <alignment horizontal="right" indent="1"/>
    </xf>
    <xf numFmtId="10" fontId="0" fillId="0" borderId="24" xfId="1" applyNumberFormat="1" applyFont="1" applyBorder="1" applyAlignment="1">
      <alignment horizontal="right" indent="1"/>
    </xf>
    <xf numFmtId="3" fontId="0" fillId="0" borderId="22" xfId="0" applyNumberFormat="1" applyBorder="1" applyAlignment="1">
      <alignment horizontal="right" indent="1"/>
    </xf>
    <xf numFmtId="10" fontId="0" fillId="0" borderId="26" xfId="1" applyNumberFormat="1" applyFont="1" applyBorder="1" applyAlignment="1">
      <alignment horizontal="right" indent="1"/>
    </xf>
    <xf numFmtId="3" fontId="0" fillId="0" borderId="26" xfId="0" applyNumberFormat="1" applyBorder="1" applyAlignment="1">
      <alignment horizontal="right" indent="1"/>
    </xf>
    <xf numFmtId="3" fontId="12" fillId="0" borderId="29" xfId="0" applyNumberFormat="1" applyFont="1" applyBorder="1" applyAlignment="1">
      <alignment horizontal="right" indent="1"/>
    </xf>
    <xf numFmtId="10" fontId="12" fillId="0" borderId="30" xfId="1" applyNumberFormat="1" applyFont="1" applyBorder="1" applyAlignment="1">
      <alignment horizontal="right" indent="1"/>
    </xf>
    <xf numFmtId="3" fontId="12" fillId="0" borderId="38" xfId="0" applyNumberFormat="1" applyFont="1" applyBorder="1" applyAlignment="1">
      <alignment horizontal="right" indent="1"/>
    </xf>
    <xf numFmtId="10" fontId="12" fillId="0" borderId="31" xfId="1" applyNumberFormat="1" applyFont="1" applyBorder="1" applyAlignment="1">
      <alignment horizontal="right" indent="1"/>
    </xf>
    <xf numFmtId="0" fontId="46" fillId="0" borderId="0" xfId="0" applyFont="1"/>
    <xf numFmtId="171" fontId="0" fillId="0" borderId="0" xfId="0" applyNumberFormat="1" applyAlignment="1">
      <alignment horizontal="center"/>
    </xf>
    <xf numFmtId="0" fontId="12" fillId="13" borderId="1" xfId="0" applyFont="1" applyFill="1" applyBorder="1" applyAlignment="1">
      <alignment horizontal="center"/>
    </xf>
    <xf numFmtId="0" fontId="0" fillId="0" borderId="14" xfId="0" applyBorder="1" applyAlignment="1">
      <alignment horizontal="center" vertical="center" wrapText="1"/>
    </xf>
    <xf numFmtId="9" fontId="0" fillId="0" borderId="14" xfId="0" applyNumberFormat="1" applyBorder="1" applyAlignment="1">
      <alignment horizontal="center"/>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wrapText="1"/>
    </xf>
    <xf numFmtId="0" fontId="12" fillId="0" borderId="52" xfId="0" applyFont="1" applyBorder="1" applyAlignment="1">
      <alignment horizontal="center" vertical="center" wrapText="1"/>
    </xf>
    <xf numFmtId="0" fontId="12" fillId="0" borderId="55" xfId="0" applyFont="1" applyBorder="1" applyAlignment="1">
      <alignment horizontal="center" vertical="center" wrapText="1"/>
    </xf>
    <xf numFmtId="0" fontId="12" fillId="0" borderId="6" xfId="0" applyFont="1" applyBorder="1" applyAlignment="1">
      <alignment horizontal="center" vertical="center" wrapText="1"/>
    </xf>
    <xf numFmtId="0" fontId="0" fillId="0" borderId="17" xfId="0" applyBorder="1" applyAlignment="1">
      <alignment horizontal="center"/>
    </xf>
    <xf numFmtId="0" fontId="0" fillId="0" borderId="34" xfId="0" applyBorder="1" applyAlignment="1">
      <alignment horizontal="center"/>
    </xf>
    <xf numFmtId="0" fontId="7" fillId="0" borderId="85" xfId="8" applyFont="1" applyBorder="1" applyAlignment="1">
      <alignment horizontal="center" vertical="center" wrapText="1"/>
    </xf>
    <xf numFmtId="0" fontId="7" fillId="0" borderId="24" xfId="8" applyFont="1" applyBorder="1" applyAlignment="1">
      <alignment horizontal="center" vertical="center" wrapText="1"/>
    </xf>
    <xf numFmtId="49" fontId="48" fillId="0" borderId="43" xfId="8" applyNumberFormat="1" applyFont="1" applyBorder="1" applyAlignment="1">
      <alignment horizontal="center" vertical="center"/>
    </xf>
    <xf numFmtId="0" fontId="48" fillId="0" borderId="12" xfId="8" applyFont="1" applyBorder="1" applyAlignment="1">
      <alignment horizontal="left" vertical="center" indent="1"/>
    </xf>
    <xf numFmtId="49" fontId="48" fillId="0" borderId="20" xfId="8" applyNumberFormat="1" applyFont="1" applyBorder="1" applyAlignment="1">
      <alignment horizontal="center" vertical="center"/>
    </xf>
    <xf numFmtId="0" fontId="48" fillId="0" borderId="19" xfId="8" applyFont="1" applyBorder="1" applyAlignment="1">
      <alignment horizontal="left" vertical="center" indent="1"/>
    </xf>
    <xf numFmtId="49" fontId="48" fillId="0" borderId="33" xfId="8" applyNumberFormat="1" applyFont="1" applyBorder="1" applyAlignment="1">
      <alignment horizontal="center" vertical="center"/>
    </xf>
    <xf numFmtId="0" fontId="51" fillId="0" borderId="4" xfId="8" applyFont="1" applyBorder="1" applyAlignment="1">
      <alignment horizontal="left" vertical="center" indent="1"/>
    </xf>
    <xf numFmtId="3" fontId="5" fillId="0" borderId="1" xfId="8" applyNumberFormat="1" applyFont="1" applyBorder="1" applyAlignment="1">
      <alignment horizontal="right" vertical="center" indent="1"/>
    </xf>
    <xf numFmtId="0" fontId="6" fillId="6" borderId="11" xfId="0" applyFont="1" applyFill="1" applyBorder="1" applyAlignment="1">
      <alignment horizontal="right" indent="1"/>
    </xf>
    <xf numFmtId="0" fontId="6" fillId="6" borderId="21" xfId="0" applyFont="1" applyFill="1" applyBorder="1" applyAlignment="1">
      <alignment horizontal="right" indent="1"/>
    </xf>
    <xf numFmtId="0" fontId="8" fillId="6" borderId="54" xfId="0" applyFont="1" applyFill="1" applyBorder="1" applyAlignment="1">
      <alignment horizontal="right" indent="1"/>
    </xf>
    <xf numFmtId="1" fontId="8" fillId="0" borderId="14" xfId="0" applyNumberFormat="1" applyFont="1" applyBorder="1" applyAlignment="1">
      <alignment horizontal="right" indent="1"/>
    </xf>
    <xf numFmtId="0" fontId="6" fillId="6" borderId="54" xfId="0" applyFont="1" applyFill="1" applyBorder="1" applyAlignment="1">
      <alignment horizontal="right" indent="1"/>
    </xf>
    <xf numFmtId="0" fontId="8" fillId="6" borderId="16" xfId="0" applyFont="1" applyFill="1" applyBorder="1" applyAlignment="1">
      <alignment horizontal="right" wrapText="1" indent="1"/>
    </xf>
    <xf numFmtId="0" fontId="6" fillId="6" borderId="54" xfId="0" applyFont="1" applyFill="1" applyBorder="1" applyAlignment="1">
      <alignment horizontal="right" wrapText="1" indent="1"/>
    </xf>
    <xf numFmtId="0" fontId="8" fillId="6" borderId="81" xfId="0" applyFont="1" applyFill="1" applyBorder="1" applyAlignment="1">
      <alignment horizontal="right" indent="1"/>
    </xf>
    <xf numFmtId="0" fontId="8" fillId="6" borderId="16" xfId="0" applyFont="1" applyFill="1" applyBorder="1" applyAlignment="1">
      <alignment horizontal="right" indent="1"/>
    </xf>
    <xf numFmtId="0" fontId="6" fillId="6" borderId="16" xfId="0" applyFont="1" applyFill="1" applyBorder="1" applyAlignment="1">
      <alignment horizontal="right" indent="1"/>
    </xf>
    <xf numFmtId="1" fontId="8" fillId="6" borderId="14" xfId="0" applyNumberFormat="1" applyFont="1" applyFill="1" applyBorder="1" applyAlignment="1">
      <alignment horizontal="right" indent="1"/>
    </xf>
    <xf numFmtId="0" fontId="8" fillId="0" borderId="81" xfId="0" applyFont="1" applyBorder="1" applyAlignment="1">
      <alignment horizontal="right" indent="1"/>
    </xf>
    <xf numFmtId="0" fontId="6" fillId="0" borderId="16" xfId="0" applyFont="1" applyBorder="1" applyAlignment="1">
      <alignment horizontal="right" indent="1"/>
    </xf>
    <xf numFmtId="3" fontId="5" fillId="0" borderId="77" xfId="8" applyNumberFormat="1" applyFont="1" applyBorder="1" applyAlignment="1">
      <alignment horizontal="right" vertical="center" indent="1"/>
    </xf>
    <xf numFmtId="3" fontId="6" fillId="0" borderId="113" xfId="8" applyNumberFormat="1" applyFont="1" applyBorder="1" applyAlignment="1">
      <alignment horizontal="right" vertical="center" indent="1"/>
    </xf>
    <xf numFmtId="3" fontId="5" fillId="0" borderId="46" xfId="8" applyNumberFormat="1" applyFont="1" applyBorder="1" applyAlignment="1">
      <alignment horizontal="right" vertical="center" indent="1"/>
    </xf>
    <xf numFmtId="0" fontId="60" fillId="0" borderId="0" xfId="8" applyFont="1" applyAlignment="1">
      <alignment horizontal="right" vertical="center"/>
    </xf>
    <xf numFmtId="10" fontId="53" fillId="0" borderId="0" xfId="0" applyNumberFormat="1" applyFont="1" applyAlignment="1">
      <alignment horizontal="left" vertical="center"/>
    </xf>
    <xf numFmtId="0" fontId="0" fillId="0" borderId="10" xfId="0" applyBorder="1" applyAlignment="1">
      <alignment horizontal="center"/>
    </xf>
    <xf numFmtId="0" fontId="0" fillId="0" borderId="13" xfId="0"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8" fillId="0" borderId="0" xfId="8" applyFont="1" applyAlignment="1">
      <alignment horizontal="left"/>
    </xf>
    <xf numFmtId="4" fontId="0" fillId="0" borderId="0" xfId="0" applyNumberFormat="1"/>
    <xf numFmtId="172" fontId="0" fillId="0" borderId="0" xfId="0" applyNumberFormat="1"/>
    <xf numFmtId="0" fontId="61" fillId="0" borderId="0" xfId="3" applyFont="1" applyAlignment="1">
      <alignment horizontal="right" vertical="center"/>
    </xf>
    <xf numFmtId="0" fontId="11" fillId="0" borderId="0" xfId="9" applyFill="1" applyAlignment="1">
      <alignment horizontal="left" vertical="center"/>
    </xf>
    <xf numFmtId="0" fontId="62" fillId="0" borderId="0" xfId="9" quotePrefix="1" applyFont="1" applyFill="1"/>
    <xf numFmtId="0" fontId="62" fillId="0" borderId="0" xfId="9" applyFont="1" applyFill="1"/>
    <xf numFmtId="3" fontId="12" fillId="0" borderId="0" xfId="0" applyNumberFormat="1" applyFont="1" applyAlignment="1">
      <alignment horizontal="right" indent="1"/>
    </xf>
    <xf numFmtId="10" fontId="0" fillId="0" borderId="13" xfId="0" applyNumberFormat="1" applyBorder="1" applyAlignment="1">
      <alignment horizontal="right" indent="1"/>
    </xf>
    <xf numFmtId="10" fontId="0" fillId="0" borderId="10" xfId="1" applyNumberFormat="1" applyFont="1" applyBorder="1" applyAlignment="1">
      <alignment horizontal="right" indent="1"/>
    </xf>
    <xf numFmtId="10" fontId="0" fillId="0" borderId="13" xfId="1" applyNumberFormat="1" applyFont="1" applyBorder="1" applyAlignment="1">
      <alignment horizontal="right" indent="1"/>
    </xf>
    <xf numFmtId="10" fontId="0" fillId="0" borderId="20" xfId="1" applyNumberFormat="1" applyFont="1" applyBorder="1" applyAlignment="1">
      <alignment horizontal="right" indent="1"/>
    </xf>
    <xf numFmtId="10" fontId="0" fillId="0" borderId="14" xfId="1" applyNumberFormat="1" applyFont="1" applyBorder="1" applyAlignment="1">
      <alignment horizontal="right" indent="1"/>
    </xf>
    <xf numFmtId="10" fontId="0" fillId="0" borderId="22" xfId="1" applyNumberFormat="1" applyFont="1" applyBorder="1" applyAlignment="1">
      <alignment horizontal="right" indent="1"/>
    </xf>
    <xf numFmtId="10" fontId="0" fillId="0" borderId="23" xfId="1" applyNumberFormat="1" applyFont="1" applyBorder="1" applyAlignment="1">
      <alignment horizontal="right" indent="1"/>
    </xf>
    <xf numFmtId="10" fontId="0" fillId="0" borderId="38" xfId="0" applyNumberFormat="1" applyBorder="1" applyAlignment="1">
      <alignment horizontal="right" indent="1"/>
    </xf>
    <xf numFmtId="10" fontId="0" fillId="0" borderId="30" xfId="1" applyNumberFormat="1" applyFont="1" applyBorder="1" applyAlignment="1">
      <alignment horizontal="right" indent="1"/>
    </xf>
    <xf numFmtId="10" fontId="0" fillId="0" borderId="32" xfId="1" applyNumberFormat="1" applyFont="1" applyBorder="1" applyAlignment="1">
      <alignment horizontal="right" indent="1"/>
    </xf>
    <xf numFmtId="10" fontId="0" fillId="0" borderId="38" xfId="1" applyNumberFormat="1" applyFont="1" applyBorder="1" applyAlignment="1">
      <alignment horizontal="right" indent="1"/>
    </xf>
    <xf numFmtId="3" fontId="0" fillId="0" borderId="31" xfId="0" applyNumberFormat="1" applyBorder="1" applyAlignment="1">
      <alignment horizontal="right" indent="1"/>
    </xf>
    <xf numFmtId="0" fontId="0" fillId="0" borderId="17" xfId="0" applyBorder="1" applyAlignment="1">
      <alignment horizontal="left" indent="1"/>
    </xf>
    <xf numFmtId="0" fontId="0" fillId="0" borderId="14" xfId="0" applyBorder="1" applyAlignment="1">
      <alignment horizontal="left" indent="1"/>
    </xf>
    <xf numFmtId="0" fontId="0" fillId="0" borderId="34" xfId="0" applyBorder="1" applyAlignment="1">
      <alignment horizontal="left" indent="1"/>
    </xf>
    <xf numFmtId="0" fontId="0" fillId="0" borderId="23" xfId="0" applyBorder="1" applyAlignment="1">
      <alignment horizontal="left" indent="1"/>
    </xf>
    <xf numFmtId="0" fontId="0" fillId="0" borderId="18" xfId="0" applyBorder="1" applyAlignment="1">
      <alignment horizontal="left" indent="1"/>
    </xf>
    <xf numFmtId="0" fontId="0" fillId="0" borderId="21" xfId="0" applyBorder="1" applyAlignment="1">
      <alignment horizontal="left" indent="1"/>
    </xf>
    <xf numFmtId="0" fontId="0" fillId="0" borderId="35" xfId="0" applyBorder="1" applyAlignment="1">
      <alignment horizontal="left" indent="1"/>
    </xf>
    <xf numFmtId="0" fontId="0" fillId="0" borderId="24" xfId="0" applyBorder="1" applyAlignment="1">
      <alignment horizontal="left" indent="1"/>
    </xf>
    <xf numFmtId="0" fontId="0" fillId="0" borderId="0" xfId="0" applyAlignment="1">
      <alignment horizontal="left" vertical="center" wrapText="1"/>
    </xf>
    <xf numFmtId="0" fontId="0" fillId="0" borderId="0" xfId="0" applyAlignment="1">
      <alignment horizontal="left" wrapText="1"/>
    </xf>
    <xf numFmtId="0" fontId="8" fillId="0" borderId="34" xfId="5" applyFont="1" applyBorder="1" applyAlignment="1">
      <alignment horizontal="left" vertical="center"/>
    </xf>
    <xf numFmtId="0" fontId="8" fillId="0" borderId="48" xfId="5" applyFont="1" applyBorder="1" applyAlignment="1">
      <alignment horizontal="left" vertical="center"/>
    </xf>
    <xf numFmtId="10" fontId="8" fillId="0" borderId="17" xfId="1" applyNumberFormat="1" applyFont="1" applyBorder="1" applyAlignment="1">
      <alignment horizontal="right" vertical="center" indent="1"/>
    </xf>
    <xf numFmtId="10" fontId="8" fillId="0" borderId="14" xfId="1" applyNumberFormat="1" applyFont="1" applyBorder="1" applyAlignment="1">
      <alignment horizontal="right" vertical="center" indent="1"/>
    </xf>
    <xf numFmtId="10" fontId="8" fillId="0" borderId="34" xfId="1" applyNumberFormat="1" applyFont="1" applyBorder="1" applyAlignment="1">
      <alignment horizontal="right" vertical="center" indent="1"/>
    </xf>
    <xf numFmtId="3" fontId="8" fillId="0" borderId="47" xfId="5" applyNumberFormat="1" applyFont="1" applyBorder="1" applyAlignment="1">
      <alignment horizontal="right" vertical="center" indent="1"/>
    </xf>
    <xf numFmtId="3" fontId="8" fillId="0" borderId="40" xfId="5" applyNumberFormat="1" applyFont="1" applyBorder="1" applyAlignment="1">
      <alignment horizontal="right" vertical="center" indent="1"/>
    </xf>
    <xf numFmtId="3" fontId="8" fillId="0" borderId="48" xfId="5" applyNumberFormat="1" applyFont="1" applyBorder="1" applyAlignment="1">
      <alignment horizontal="right" vertical="center" indent="1"/>
    </xf>
    <xf numFmtId="3" fontId="8" fillId="6" borderId="11" xfId="0" applyNumberFormat="1" applyFont="1" applyFill="1" applyBorder="1" applyAlignment="1">
      <alignment horizontal="right" indent="1"/>
    </xf>
    <xf numFmtId="3" fontId="8" fillId="6" borderId="21" xfId="0" applyNumberFormat="1" applyFont="1" applyFill="1" applyBorder="1" applyAlignment="1">
      <alignment horizontal="right" indent="1"/>
    </xf>
    <xf numFmtId="3" fontId="6" fillId="0" borderId="21" xfId="8" applyNumberFormat="1" applyFont="1" applyBorder="1" applyAlignment="1">
      <alignment horizontal="right" vertical="center" indent="1"/>
    </xf>
    <xf numFmtId="3" fontId="8" fillId="6" borderId="35" xfId="0" applyNumberFormat="1" applyFont="1" applyFill="1" applyBorder="1" applyAlignment="1">
      <alignment horizontal="right" indent="1"/>
    </xf>
    <xf numFmtId="3" fontId="8" fillId="6" borderId="63" xfId="0" applyNumberFormat="1" applyFont="1" applyFill="1" applyBorder="1" applyAlignment="1">
      <alignment horizontal="right" indent="1"/>
    </xf>
    <xf numFmtId="3" fontId="8" fillId="0" borderId="35" xfId="0" applyNumberFormat="1" applyFont="1" applyBorder="1" applyAlignment="1">
      <alignment horizontal="right" indent="1"/>
    </xf>
    <xf numFmtId="3" fontId="8" fillId="0" borderId="21" xfId="0" applyNumberFormat="1" applyFont="1" applyBorder="1" applyAlignment="1">
      <alignment horizontal="right" indent="1"/>
    </xf>
    <xf numFmtId="3" fontId="8" fillId="7" borderId="70" xfId="10" applyNumberFormat="1" applyFont="1" applyFill="1" applyBorder="1" applyAlignment="1">
      <alignment horizontal="right" vertical="center"/>
    </xf>
    <xf numFmtId="172" fontId="0" fillId="0" borderId="0" xfId="1" applyNumberFormat="1" applyFont="1"/>
    <xf numFmtId="0" fontId="12" fillId="0" borderId="0" xfId="0" applyFont="1"/>
    <xf numFmtId="3" fontId="12" fillId="0" borderId="0" xfId="0" applyNumberFormat="1" applyFont="1"/>
    <xf numFmtId="14" fontId="1" fillId="0" borderId="0" xfId="8" applyNumberFormat="1" applyAlignment="1">
      <alignment horizontal="right"/>
    </xf>
    <xf numFmtId="14" fontId="7" fillId="0" borderId="0" xfId="8" applyNumberFormat="1" applyFont="1"/>
    <xf numFmtId="0" fontId="0" fillId="0" borderId="2" xfId="0" applyBorder="1" applyAlignment="1">
      <alignment horizontal="center" vertical="center" wrapText="1"/>
    </xf>
    <xf numFmtId="0" fontId="0" fillId="0" borderId="4" xfId="0" applyBorder="1" applyAlignment="1">
      <alignment horizontal="center" vertical="center" wrapText="1"/>
    </xf>
    <xf numFmtId="0" fontId="12" fillId="0" borderId="46" xfId="0" applyFont="1" applyBorder="1" applyAlignment="1">
      <alignment horizontal="center" vertical="center" wrapText="1"/>
    </xf>
    <xf numFmtId="0" fontId="7" fillId="0" borderId="46" xfId="8" applyFont="1" applyBorder="1" applyAlignment="1">
      <alignment horizontal="center" vertical="center"/>
    </xf>
    <xf numFmtId="0" fontId="0" fillId="0" borderId="1" xfId="0" applyBorder="1" applyAlignment="1">
      <alignment horizontal="center" vertical="center" wrapText="1"/>
    </xf>
    <xf numFmtId="10" fontId="0" fillId="0" borderId="0" xfId="0" applyNumberFormat="1"/>
    <xf numFmtId="3" fontId="8" fillId="0" borderId="19" xfId="0" applyNumberFormat="1" applyFont="1" applyBorder="1" applyAlignment="1">
      <alignment horizontal="right" vertical="center" indent="1"/>
    </xf>
    <xf numFmtId="3" fontId="8" fillId="6" borderId="19" xfId="0" applyNumberFormat="1" applyFont="1" applyFill="1" applyBorder="1" applyAlignment="1">
      <alignment horizontal="right" vertical="center" indent="1"/>
    </xf>
    <xf numFmtId="3" fontId="8" fillId="6" borderId="37" xfId="0" applyNumberFormat="1" applyFont="1" applyFill="1" applyBorder="1" applyAlignment="1">
      <alignment horizontal="right" vertical="center" indent="1"/>
    </xf>
    <xf numFmtId="3" fontId="5" fillId="6" borderId="4" xfId="0" applyNumberFormat="1" applyFont="1" applyFill="1" applyBorder="1" applyAlignment="1">
      <alignment horizontal="right" vertical="center" indent="1"/>
    </xf>
    <xf numFmtId="3" fontId="7" fillId="7" borderId="46" xfId="10" applyNumberFormat="1" applyFont="1" applyFill="1" applyBorder="1" applyAlignment="1">
      <alignment horizontal="right" vertical="center"/>
    </xf>
    <xf numFmtId="165" fontId="0" fillId="0" borderId="0" xfId="0" applyNumberFormat="1"/>
    <xf numFmtId="0" fontId="5" fillId="0" borderId="42" xfId="0" applyFont="1" applyBorder="1" applyAlignment="1">
      <alignment horizontal="center" vertical="center" wrapText="1"/>
    </xf>
    <xf numFmtId="10" fontId="8" fillId="0" borderId="53" xfId="1" applyNumberFormat="1" applyFont="1" applyBorder="1" applyAlignment="1">
      <alignment horizontal="right" vertical="center" indent="1"/>
    </xf>
    <xf numFmtId="10" fontId="8" fillId="6" borderId="53" xfId="1" applyNumberFormat="1" applyFont="1" applyFill="1" applyBorder="1" applyAlignment="1">
      <alignment horizontal="right" vertical="center" indent="1"/>
    </xf>
    <xf numFmtId="10" fontId="8" fillId="6" borderId="117" xfId="1" applyNumberFormat="1" applyFont="1" applyFill="1" applyBorder="1" applyAlignment="1">
      <alignment horizontal="right" vertical="center" indent="1"/>
    </xf>
    <xf numFmtId="166" fontId="5" fillId="6" borderId="42" xfId="1" applyNumberFormat="1" applyFont="1" applyFill="1" applyBorder="1" applyAlignment="1">
      <alignment horizontal="right" vertical="center" indent="1"/>
    </xf>
    <xf numFmtId="3" fontId="7" fillId="4" borderId="106" xfId="8" applyNumberFormat="1" applyFont="1" applyFill="1" applyBorder="1" applyAlignment="1">
      <alignment horizontal="center" vertical="center"/>
    </xf>
    <xf numFmtId="3" fontId="7" fillId="5" borderId="116" xfId="8" applyNumberFormat="1" applyFont="1" applyFill="1" applyBorder="1" applyAlignment="1">
      <alignment horizontal="center" vertical="center"/>
    </xf>
    <xf numFmtId="3" fontId="7" fillId="3" borderId="116" xfId="8" applyNumberFormat="1" applyFont="1" applyFill="1" applyBorder="1" applyAlignment="1">
      <alignment horizontal="center" vertical="center"/>
    </xf>
    <xf numFmtId="3" fontId="7" fillId="2" borderId="108" xfId="8" applyNumberFormat="1" applyFont="1" applyFill="1" applyBorder="1" applyAlignment="1">
      <alignment horizontal="center" vertical="center"/>
    </xf>
    <xf numFmtId="165" fontId="8" fillId="0" borderId="92" xfId="1" applyNumberFormat="1" applyFont="1" applyFill="1" applyBorder="1" applyAlignment="1">
      <alignment horizontal="right" indent="1"/>
    </xf>
    <xf numFmtId="3" fontId="8" fillId="0" borderId="17" xfId="0" applyNumberFormat="1" applyFont="1" applyBorder="1" applyAlignment="1">
      <alignment horizontal="right" indent="1"/>
    </xf>
    <xf numFmtId="3" fontId="8" fillId="0" borderId="93" xfId="0" applyNumberFormat="1" applyFont="1" applyBorder="1" applyAlignment="1">
      <alignment horizontal="right" indent="1"/>
    </xf>
    <xf numFmtId="165" fontId="8" fillId="0" borderId="12" xfId="1" applyNumberFormat="1" applyFont="1" applyFill="1" applyBorder="1" applyAlignment="1">
      <alignment horizontal="right" indent="1"/>
    </xf>
    <xf numFmtId="165" fontId="8" fillId="0" borderId="53" xfId="1" applyNumberFormat="1" applyFont="1" applyFill="1" applyBorder="1" applyAlignment="1">
      <alignment horizontal="right" indent="1"/>
    </xf>
    <xf numFmtId="3" fontId="8" fillId="0" borderId="14" xfId="0" applyNumberFormat="1" applyFont="1" applyBorder="1" applyAlignment="1">
      <alignment horizontal="right" indent="1"/>
    </xf>
    <xf numFmtId="3" fontId="8" fillId="0" borderId="54" xfId="0" applyNumberFormat="1" applyFont="1" applyBorder="1" applyAlignment="1">
      <alignment horizontal="right" indent="1"/>
    </xf>
    <xf numFmtId="165" fontId="8" fillId="0" borderId="19" xfId="1" applyNumberFormat="1" applyFont="1" applyFill="1" applyBorder="1" applyAlignment="1">
      <alignment horizontal="right" indent="1"/>
    </xf>
    <xf numFmtId="165" fontId="8" fillId="0" borderId="107" xfId="1" applyNumberFormat="1" applyFont="1" applyFill="1" applyBorder="1" applyAlignment="1">
      <alignment horizontal="right" indent="1"/>
    </xf>
    <xf numFmtId="3" fontId="8" fillId="0" borderId="23" xfId="0" applyNumberFormat="1" applyFont="1" applyBorder="1" applyAlignment="1">
      <alignment horizontal="right" indent="1"/>
    </xf>
    <xf numFmtId="3" fontId="8" fillId="0" borderId="84" xfId="0" applyNumberFormat="1" applyFont="1" applyBorder="1" applyAlignment="1">
      <alignment horizontal="right" indent="1"/>
    </xf>
    <xf numFmtId="165" fontId="8" fillId="0" borderId="26" xfId="1" applyNumberFormat="1" applyFont="1" applyFill="1" applyBorder="1" applyAlignment="1">
      <alignment horizontal="right" indent="1"/>
    </xf>
    <xf numFmtId="165" fontId="7" fillId="0" borderId="42" xfId="1" applyNumberFormat="1" applyFont="1" applyFill="1" applyBorder="1" applyAlignment="1">
      <alignment horizontal="right" vertical="center" indent="1"/>
    </xf>
    <xf numFmtId="3" fontId="7" fillId="0" borderId="77" xfId="8" applyNumberFormat="1" applyFont="1" applyBorder="1" applyAlignment="1">
      <alignment horizontal="right" vertical="center" indent="1"/>
    </xf>
    <xf numFmtId="165" fontId="7" fillId="0" borderId="4" xfId="1" applyNumberFormat="1" applyFont="1" applyFill="1" applyBorder="1" applyAlignment="1">
      <alignment horizontal="right" vertical="center" indent="1"/>
    </xf>
    <xf numFmtId="3" fontId="6" fillId="0" borderId="114" xfId="10" applyNumberFormat="1" applyFont="1" applyBorder="1" applyAlignment="1">
      <alignment horizontal="right" vertical="center"/>
    </xf>
    <xf numFmtId="3" fontId="6" fillId="0" borderId="88" xfId="10" applyNumberFormat="1" applyFont="1" applyBorder="1" applyAlignment="1">
      <alignment horizontal="right" vertical="center"/>
    </xf>
    <xf numFmtId="3" fontId="6" fillId="0" borderId="82" xfId="10" applyNumberFormat="1" applyFont="1" applyBorder="1" applyAlignment="1">
      <alignment horizontal="right" vertical="center"/>
    </xf>
    <xf numFmtId="3" fontId="14" fillId="0" borderId="94" xfId="10" applyNumberFormat="1" applyFont="1" applyBorder="1" applyAlignment="1">
      <alignment horizontal="right" vertical="center"/>
    </xf>
    <xf numFmtId="3" fontId="6" fillId="8" borderId="115" xfId="10" applyNumberFormat="1" applyFont="1" applyFill="1" applyBorder="1" applyAlignment="1">
      <alignment horizontal="right" vertical="center"/>
    </xf>
    <xf numFmtId="3" fontId="6" fillId="8" borderId="89" xfId="10" applyNumberFormat="1" applyFont="1" applyFill="1" applyBorder="1" applyAlignment="1">
      <alignment horizontal="right" vertical="center"/>
    </xf>
    <xf numFmtId="3" fontId="6" fillId="8" borderId="83" xfId="10" applyNumberFormat="1" applyFont="1" applyFill="1" applyBorder="1" applyAlignment="1">
      <alignment horizontal="right" vertical="center"/>
    </xf>
    <xf numFmtId="3" fontId="33" fillId="8" borderId="95" xfId="10" applyNumberFormat="1" applyFont="1" applyFill="1" applyBorder="1" applyAlignment="1">
      <alignment horizontal="right" vertical="center"/>
    </xf>
    <xf numFmtId="9" fontId="12" fillId="10" borderId="45" xfId="0" applyNumberFormat="1" applyFont="1" applyFill="1" applyBorder="1"/>
    <xf numFmtId="10" fontId="12" fillId="10" borderId="42" xfId="0" applyNumberFormat="1" applyFont="1" applyFill="1" applyBorder="1"/>
    <xf numFmtId="10" fontId="12" fillId="10" borderId="45" xfId="0" applyNumberFormat="1" applyFont="1" applyFill="1" applyBorder="1"/>
    <xf numFmtId="9" fontId="12" fillId="10" borderId="8" xfId="0" applyNumberFormat="1" applyFont="1" applyFill="1" applyBorder="1" applyAlignment="1">
      <alignment vertical="center" wrapText="1"/>
    </xf>
    <xf numFmtId="165" fontId="12" fillId="10" borderId="106" xfId="1" applyNumberFormat="1" applyFont="1" applyFill="1" applyBorder="1" applyAlignment="1">
      <alignment vertical="center" wrapText="1"/>
    </xf>
    <xf numFmtId="0" fontId="0" fillId="11" borderId="56" xfId="0" applyFill="1" applyBorder="1"/>
    <xf numFmtId="0" fontId="0" fillId="11" borderId="0" xfId="0" applyFill="1"/>
    <xf numFmtId="0" fontId="0" fillId="11" borderId="57" xfId="0" applyFill="1" applyBorder="1"/>
    <xf numFmtId="10" fontId="0" fillId="11" borderId="105" xfId="1" applyNumberFormat="1" applyFont="1" applyFill="1" applyBorder="1"/>
    <xf numFmtId="10" fontId="0" fillId="11" borderId="57" xfId="1" applyNumberFormat="1" applyFont="1" applyFill="1" applyBorder="1"/>
    <xf numFmtId="165" fontId="0" fillId="11" borderId="56" xfId="1" applyNumberFormat="1" applyFont="1" applyFill="1" applyBorder="1"/>
    <xf numFmtId="165" fontId="0" fillId="11" borderId="49" xfId="1" applyNumberFormat="1" applyFont="1" applyFill="1" applyBorder="1"/>
    <xf numFmtId="10" fontId="0" fillId="11" borderId="78" xfId="1" applyNumberFormat="1" applyFont="1" applyFill="1" applyBorder="1"/>
    <xf numFmtId="0" fontId="0" fillId="11" borderId="64" xfId="0" applyFill="1" applyBorder="1"/>
    <xf numFmtId="10" fontId="0" fillId="11" borderId="0" xfId="1" applyNumberFormat="1" applyFont="1" applyFill="1" applyBorder="1"/>
    <xf numFmtId="165" fontId="0" fillId="11" borderId="0" xfId="1" applyNumberFormat="1" applyFont="1" applyFill="1" applyBorder="1"/>
    <xf numFmtId="165" fontId="0" fillId="11" borderId="50" xfId="1" applyNumberFormat="1" applyFont="1" applyFill="1" applyBorder="1"/>
    <xf numFmtId="0" fontId="0" fillId="11" borderId="71" xfId="0" applyFill="1" applyBorder="1"/>
    <xf numFmtId="0" fontId="0" fillId="11" borderId="72" xfId="0" applyFill="1" applyBorder="1"/>
    <xf numFmtId="10" fontId="0" fillId="11" borderId="109" xfId="1" applyNumberFormat="1" applyFont="1" applyFill="1" applyBorder="1"/>
    <xf numFmtId="0" fontId="12" fillId="11" borderId="77" xfId="0" applyFont="1" applyFill="1" applyBorder="1"/>
    <xf numFmtId="10" fontId="12" fillId="11" borderId="77" xfId="1" applyNumberFormat="1" applyFont="1" applyFill="1" applyBorder="1"/>
    <xf numFmtId="0" fontId="12" fillId="11" borderId="42" xfId="0" applyFont="1" applyFill="1" applyBorder="1"/>
    <xf numFmtId="10" fontId="12" fillId="11" borderId="45" xfId="1" applyNumberFormat="1" applyFont="1" applyFill="1" applyBorder="1"/>
    <xf numFmtId="165" fontId="12" fillId="11" borderId="77" xfId="1" applyNumberFormat="1" applyFont="1" applyFill="1" applyBorder="1"/>
    <xf numFmtId="165" fontId="12" fillId="11" borderId="46" xfId="1" applyNumberFormat="1" applyFont="1" applyFill="1" applyBorder="1"/>
    <xf numFmtId="3" fontId="0" fillId="11" borderId="57" xfId="0" applyNumberFormat="1" applyFill="1" applyBorder="1"/>
    <xf numFmtId="3" fontId="0" fillId="11" borderId="56" xfId="0" applyNumberFormat="1" applyFill="1" applyBorder="1"/>
    <xf numFmtId="3" fontId="0" fillId="11" borderId="0" xfId="0" applyNumberFormat="1" applyFill="1"/>
    <xf numFmtId="3" fontId="0" fillId="11" borderId="64" xfId="0" applyNumberFormat="1" applyFill="1" applyBorder="1"/>
    <xf numFmtId="3" fontId="0" fillId="11" borderId="72" xfId="0" applyNumberFormat="1" applyFill="1" applyBorder="1"/>
    <xf numFmtId="3" fontId="12" fillId="11" borderId="77" xfId="0" applyNumberFormat="1" applyFont="1" applyFill="1" applyBorder="1"/>
    <xf numFmtId="3" fontId="12" fillId="11" borderId="42" xfId="0" applyNumberFormat="1" applyFont="1" applyFill="1" applyBorder="1"/>
    <xf numFmtId="10" fontId="0" fillId="0" borderId="0" xfId="1" applyNumberFormat="1" applyFont="1" applyFill="1" applyBorder="1"/>
    <xf numFmtId="10" fontId="12" fillId="0" borderId="0" xfId="1" applyNumberFormat="1" applyFont="1" applyFill="1" applyBorder="1"/>
    <xf numFmtId="3" fontId="0" fillId="11" borderId="71" xfId="0" applyNumberFormat="1" applyFill="1" applyBorder="1"/>
    <xf numFmtId="9" fontId="12" fillId="10" borderId="106" xfId="0" applyNumberFormat="1" applyFont="1" applyFill="1" applyBorder="1" applyAlignment="1">
      <alignment vertical="center" wrapText="1"/>
    </xf>
    <xf numFmtId="3" fontId="0" fillId="12" borderId="56" xfId="0" applyNumberFormat="1" applyFill="1" applyBorder="1"/>
    <xf numFmtId="10" fontId="0" fillId="12" borderId="105" xfId="1" applyNumberFormat="1" applyFont="1" applyFill="1" applyBorder="1"/>
    <xf numFmtId="10" fontId="0" fillId="12" borderId="57" xfId="1" applyNumberFormat="1" applyFont="1" applyFill="1" applyBorder="1"/>
    <xf numFmtId="165" fontId="0" fillId="12" borderId="49" xfId="1" applyNumberFormat="1" applyFont="1" applyFill="1" applyBorder="1"/>
    <xf numFmtId="3" fontId="0" fillId="12" borderId="64" xfId="0" applyNumberFormat="1" applyFill="1" applyBorder="1"/>
    <xf numFmtId="10" fontId="0" fillId="12" borderId="78" xfId="1" applyNumberFormat="1" applyFont="1" applyFill="1" applyBorder="1"/>
    <xf numFmtId="3" fontId="0" fillId="12" borderId="71" xfId="0" applyNumberFormat="1" applyFill="1" applyBorder="1"/>
    <xf numFmtId="10" fontId="0" fillId="12" borderId="109" xfId="1" applyNumberFormat="1" applyFont="1" applyFill="1" applyBorder="1"/>
    <xf numFmtId="10" fontId="0" fillId="12" borderId="0" xfId="1" applyNumberFormat="1" applyFont="1" applyFill="1" applyBorder="1"/>
    <xf numFmtId="165" fontId="0" fillId="12" borderId="50" xfId="1" applyNumberFormat="1" applyFont="1" applyFill="1" applyBorder="1"/>
    <xf numFmtId="3" fontId="12" fillId="12" borderId="42" xfId="0" applyNumberFormat="1" applyFont="1" applyFill="1" applyBorder="1"/>
    <xf numFmtId="10" fontId="12" fillId="12" borderId="45" xfId="1" applyNumberFormat="1" applyFont="1" applyFill="1" applyBorder="1"/>
    <xf numFmtId="3" fontId="12" fillId="12" borderId="77" xfId="0" applyNumberFormat="1" applyFont="1" applyFill="1" applyBorder="1"/>
    <xf numFmtId="10" fontId="12" fillId="12" borderId="77" xfId="1" applyNumberFormat="1" applyFont="1" applyFill="1" applyBorder="1"/>
    <xf numFmtId="165" fontId="12" fillId="12" borderId="46" xfId="1" applyNumberFormat="1" applyFont="1" applyFill="1" applyBorder="1"/>
    <xf numFmtId="0" fontId="0" fillId="0" borderId="64" xfId="0" applyBorder="1"/>
    <xf numFmtId="0" fontId="12" fillId="0" borderId="64" xfId="0" applyFont="1" applyBorder="1"/>
    <xf numFmtId="10" fontId="12" fillId="10" borderId="77" xfId="0" applyNumberFormat="1" applyFont="1" applyFill="1" applyBorder="1"/>
    <xf numFmtId="10" fontId="12" fillId="10" borderId="49" xfId="0" applyNumberFormat="1" applyFont="1" applyFill="1" applyBorder="1" applyAlignment="1">
      <alignment vertical="center" wrapText="1"/>
    </xf>
    <xf numFmtId="0" fontId="0" fillId="13" borderId="56" xfId="0" applyFill="1" applyBorder="1"/>
    <xf numFmtId="10" fontId="0" fillId="13" borderId="105" xfId="1" applyNumberFormat="1" applyFont="1" applyFill="1" applyBorder="1"/>
    <xf numFmtId="0" fontId="0" fillId="13" borderId="0" xfId="0" applyFill="1"/>
    <xf numFmtId="0" fontId="0" fillId="13" borderId="57" xfId="0" applyFill="1" applyBorder="1"/>
    <xf numFmtId="10" fontId="0" fillId="13" borderId="57" xfId="1" applyNumberFormat="1" applyFont="1" applyFill="1" applyBorder="1"/>
    <xf numFmtId="165" fontId="0" fillId="13" borderId="56" xfId="1" applyNumberFormat="1" applyFont="1" applyFill="1" applyBorder="1"/>
    <xf numFmtId="165" fontId="0" fillId="13" borderId="49" xfId="1" applyNumberFormat="1" applyFont="1" applyFill="1" applyBorder="1"/>
    <xf numFmtId="0" fontId="0" fillId="13" borderId="64" xfId="0" applyFill="1" applyBorder="1"/>
    <xf numFmtId="10" fontId="0" fillId="13" borderId="78" xfId="1" applyNumberFormat="1" applyFont="1" applyFill="1" applyBorder="1"/>
    <xf numFmtId="10" fontId="0" fillId="13" borderId="0" xfId="1" applyNumberFormat="1" applyFont="1" applyFill="1" applyBorder="1"/>
    <xf numFmtId="165" fontId="0" fillId="13" borderId="0" xfId="1" applyNumberFormat="1" applyFont="1" applyFill="1" applyBorder="1"/>
    <xf numFmtId="165" fontId="0" fillId="13" borderId="50" xfId="1" applyNumberFormat="1" applyFont="1" applyFill="1" applyBorder="1"/>
    <xf numFmtId="0" fontId="0" fillId="13" borderId="71" xfId="0" applyFill="1" applyBorder="1"/>
    <xf numFmtId="0" fontId="0" fillId="13" borderId="72" xfId="0" applyFill="1" applyBorder="1"/>
    <xf numFmtId="10" fontId="0" fillId="13" borderId="109" xfId="1" applyNumberFormat="1" applyFont="1" applyFill="1" applyBorder="1"/>
    <xf numFmtId="0" fontId="12" fillId="13" borderId="42" xfId="0" applyFont="1" applyFill="1" applyBorder="1"/>
    <xf numFmtId="10" fontId="12" fillId="13" borderId="45" xfId="1" applyNumberFormat="1" applyFont="1" applyFill="1" applyBorder="1"/>
    <xf numFmtId="0" fontId="12" fillId="13" borderId="77" xfId="0" applyFont="1" applyFill="1" applyBorder="1"/>
    <xf numFmtId="10" fontId="12" fillId="13" borderId="77" xfId="1" applyNumberFormat="1" applyFont="1" applyFill="1" applyBorder="1"/>
    <xf numFmtId="165" fontId="12" fillId="13" borderId="77" xfId="1" applyNumberFormat="1" applyFont="1" applyFill="1" applyBorder="1"/>
    <xf numFmtId="165" fontId="12" fillId="13" borderId="46" xfId="1" applyNumberFormat="1" applyFont="1" applyFill="1" applyBorder="1"/>
    <xf numFmtId="3" fontId="0" fillId="13" borderId="56" xfId="0" applyNumberFormat="1" applyFill="1" applyBorder="1"/>
    <xf numFmtId="3" fontId="0" fillId="13" borderId="57" xfId="0" applyNumberFormat="1" applyFill="1" applyBorder="1"/>
    <xf numFmtId="3" fontId="0" fillId="13" borderId="64" xfId="0" applyNumberFormat="1" applyFill="1" applyBorder="1"/>
    <xf numFmtId="3" fontId="0" fillId="13" borderId="0" xfId="0" applyNumberFormat="1" applyFill="1"/>
    <xf numFmtId="3" fontId="0" fillId="13" borderId="71" xfId="0" applyNumberFormat="1" applyFill="1" applyBorder="1"/>
    <xf numFmtId="3" fontId="0" fillId="13" borderId="72" xfId="0" applyNumberFormat="1" applyFill="1" applyBorder="1"/>
    <xf numFmtId="3" fontId="12" fillId="13" borderId="42" xfId="0" applyNumberFormat="1" applyFont="1" applyFill="1" applyBorder="1"/>
    <xf numFmtId="3" fontId="12" fillId="13" borderId="77" xfId="0" applyNumberFormat="1" applyFont="1" applyFill="1" applyBorder="1"/>
    <xf numFmtId="3" fontId="0" fillId="14" borderId="56" xfId="0" applyNumberFormat="1" applyFill="1" applyBorder="1"/>
    <xf numFmtId="10" fontId="0" fillId="14" borderId="105" xfId="1" applyNumberFormat="1" applyFont="1" applyFill="1" applyBorder="1"/>
    <xf numFmtId="3" fontId="0" fillId="14" borderId="0" xfId="0" applyNumberFormat="1" applyFill="1"/>
    <xf numFmtId="3" fontId="0" fillId="14" borderId="57" xfId="0" applyNumberFormat="1" applyFill="1" applyBorder="1"/>
    <xf numFmtId="10" fontId="0" fillId="14" borderId="57" xfId="1" applyNumberFormat="1" applyFont="1" applyFill="1" applyBorder="1"/>
    <xf numFmtId="165" fontId="0" fillId="14" borderId="56" xfId="1" applyNumberFormat="1" applyFont="1" applyFill="1" applyBorder="1"/>
    <xf numFmtId="165" fontId="0" fillId="14" borderId="49" xfId="1" applyNumberFormat="1" applyFont="1" applyFill="1" applyBorder="1"/>
    <xf numFmtId="3" fontId="0" fillId="14" borderId="64" xfId="0" applyNumberFormat="1" applyFill="1" applyBorder="1"/>
    <xf numFmtId="10" fontId="0" fillId="14" borderId="78" xfId="1" applyNumberFormat="1" applyFont="1" applyFill="1" applyBorder="1"/>
    <xf numFmtId="10" fontId="0" fillId="14" borderId="0" xfId="1" applyNumberFormat="1" applyFont="1" applyFill="1" applyBorder="1"/>
    <xf numFmtId="165" fontId="0" fillId="14" borderId="0" xfId="1" applyNumberFormat="1" applyFont="1" applyFill="1" applyBorder="1"/>
    <xf numFmtId="165" fontId="0" fillId="14" borderId="50" xfId="1" applyNumberFormat="1" applyFont="1" applyFill="1" applyBorder="1"/>
    <xf numFmtId="3" fontId="0" fillId="14" borderId="71" xfId="0" applyNumberFormat="1" applyFill="1" applyBorder="1"/>
    <xf numFmtId="3" fontId="0" fillId="14" borderId="72" xfId="0" applyNumberFormat="1" applyFill="1" applyBorder="1"/>
    <xf numFmtId="10" fontId="0" fillId="14" borderId="109" xfId="1" applyNumberFormat="1" applyFont="1" applyFill="1" applyBorder="1"/>
    <xf numFmtId="3" fontId="12" fillId="14" borderId="42" xfId="0" applyNumberFormat="1" applyFont="1" applyFill="1" applyBorder="1"/>
    <xf numFmtId="10" fontId="12" fillId="14" borderId="45" xfId="1" applyNumberFormat="1" applyFont="1" applyFill="1" applyBorder="1"/>
    <xf numFmtId="3" fontId="12" fillId="14" borderId="77" xfId="0" applyNumberFormat="1" applyFont="1" applyFill="1" applyBorder="1"/>
    <xf numFmtId="10" fontId="12" fillId="14" borderId="77" xfId="1" applyNumberFormat="1" applyFont="1" applyFill="1" applyBorder="1"/>
    <xf numFmtId="165" fontId="12" fillId="14" borderId="77" xfId="1" applyNumberFormat="1" applyFont="1" applyFill="1" applyBorder="1"/>
    <xf numFmtId="165" fontId="12" fillId="14" borderId="46" xfId="1" applyNumberFormat="1" applyFont="1" applyFill="1" applyBorder="1"/>
    <xf numFmtId="0" fontId="8" fillId="0" borderId="10" xfId="5" applyFont="1" applyBorder="1" applyAlignment="1">
      <alignment horizontal="left" vertical="center"/>
    </xf>
    <xf numFmtId="0" fontId="8" fillId="0" borderId="39" xfId="5" applyFont="1" applyBorder="1" applyAlignment="1">
      <alignment horizontal="left" vertical="center"/>
    </xf>
    <xf numFmtId="3" fontId="8" fillId="0" borderId="13" xfId="5" applyNumberFormat="1" applyFont="1" applyBorder="1" applyAlignment="1">
      <alignment horizontal="right" vertical="center"/>
    </xf>
    <xf numFmtId="10" fontId="8" fillId="0" borderId="39" xfId="5" applyNumberFormat="1" applyFont="1" applyBorder="1" applyAlignment="1">
      <alignment horizontal="right" vertical="center"/>
    </xf>
    <xf numFmtId="167" fontId="8" fillId="0" borderId="13" xfId="5" applyNumberFormat="1" applyFont="1" applyBorder="1" applyAlignment="1">
      <alignment horizontal="right" vertical="center"/>
    </xf>
    <xf numFmtId="4" fontId="8" fillId="0" borderId="9" xfId="5" applyNumberFormat="1" applyFont="1" applyBorder="1" applyAlignment="1">
      <alignment horizontal="right" vertical="center"/>
    </xf>
    <xf numFmtId="3" fontId="8" fillId="0" borderId="10" xfId="1" applyNumberFormat="1" applyFont="1" applyBorder="1" applyAlignment="1">
      <alignment horizontal="right" vertical="center"/>
    </xf>
    <xf numFmtId="10" fontId="8" fillId="0" borderId="39" xfId="1" applyNumberFormat="1" applyFont="1" applyBorder="1" applyAlignment="1">
      <alignment horizontal="right" vertical="center"/>
    </xf>
    <xf numFmtId="3" fontId="8" fillId="0" borderId="13" xfId="1" applyNumberFormat="1" applyFont="1" applyBorder="1" applyAlignment="1">
      <alignment horizontal="right" vertical="center"/>
    </xf>
    <xf numFmtId="10" fontId="8" fillId="0" borderId="13" xfId="1" applyNumberFormat="1" applyFont="1" applyBorder="1" applyAlignment="1">
      <alignment horizontal="right" vertical="center"/>
    </xf>
    <xf numFmtId="3" fontId="8" fillId="0" borderId="39" xfId="1" applyNumberFormat="1" applyFont="1" applyBorder="1" applyAlignment="1">
      <alignment horizontal="right" vertical="center"/>
    </xf>
    <xf numFmtId="3" fontId="8" fillId="0" borderId="20" xfId="5" applyNumberFormat="1" applyFont="1" applyBorder="1" applyAlignment="1">
      <alignment horizontal="right" vertical="center"/>
    </xf>
    <xf numFmtId="10" fontId="8" fillId="0" borderId="40" xfId="5" applyNumberFormat="1" applyFont="1" applyBorder="1" applyAlignment="1">
      <alignment horizontal="right" vertical="center"/>
    </xf>
    <xf numFmtId="167" fontId="8" fillId="0" borderId="20" xfId="5" applyNumberFormat="1" applyFont="1" applyBorder="1" applyAlignment="1">
      <alignment horizontal="right" vertical="center"/>
    </xf>
    <xf numFmtId="4" fontId="8" fillId="0" borderId="16" xfId="5" applyNumberFormat="1" applyFont="1" applyBorder="1" applyAlignment="1">
      <alignment horizontal="right" vertical="center"/>
    </xf>
    <xf numFmtId="3" fontId="8" fillId="0" borderId="14" xfId="1" applyNumberFormat="1" applyFont="1" applyBorder="1" applyAlignment="1">
      <alignment horizontal="right" vertical="center"/>
    </xf>
    <xf numFmtId="10" fontId="8" fillId="0" borderId="40" xfId="1" applyNumberFormat="1" applyFont="1" applyBorder="1" applyAlignment="1">
      <alignment horizontal="right" vertical="center"/>
    </xf>
    <xf numFmtId="3" fontId="8" fillId="0" borderId="20" xfId="1" applyNumberFormat="1" applyFont="1" applyBorder="1" applyAlignment="1">
      <alignment horizontal="right" vertical="center"/>
    </xf>
    <xf numFmtId="10" fontId="8" fillId="0" borderId="20" xfId="1" applyNumberFormat="1" applyFont="1" applyBorder="1" applyAlignment="1">
      <alignment horizontal="right" vertical="center"/>
    </xf>
    <xf numFmtId="3" fontId="8" fillId="0" borderId="40" xfId="1" applyNumberFormat="1" applyFont="1" applyBorder="1" applyAlignment="1">
      <alignment horizontal="right" vertical="center"/>
    </xf>
    <xf numFmtId="0" fontId="8" fillId="0" borderId="23" xfId="5" applyFont="1" applyBorder="1" applyAlignment="1">
      <alignment horizontal="left" vertical="center"/>
    </xf>
    <xf numFmtId="3" fontId="8" fillId="0" borderId="33" xfId="5" applyNumberFormat="1" applyFont="1" applyBorder="1" applyAlignment="1">
      <alignment horizontal="right" vertical="center"/>
    </xf>
    <xf numFmtId="10" fontId="8" fillId="0" borderId="48" xfId="5" applyNumberFormat="1" applyFont="1" applyBorder="1" applyAlignment="1">
      <alignment horizontal="right" vertical="center"/>
    </xf>
    <xf numFmtId="167" fontId="8" fillId="0" borderId="22" xfId="5" applyNumberFormat="1" applyFont="1" applyBorder="1" applyAlignment="1">
      <alignment horizontal="right" vertical="center"/>
    </xf>
    <xf numFmtId="4" fontId="8" fillId="0" borderId="36" xfId="5" applyNumberFormat="1" applyFont="1" applyBorder="1" applyAlignment="1">
      <alignment horizontal="right" vertical="center"/>
    </xf>
    <xf numFmtId="3" fontId="8" fillId="0" borderId="34" xfId="1" applyNumberFormat="1" applyFont="1" applyBorder="1" applyAlignment="1">
      <alignment horizontal="right" vertical="center"/>
    </xf>
    <xf numFmtId="10" fontId="8" fillId="0" borderId="48" xfId="1" applyNumberFormat="1" applyFont="1" applyBorder="1" applyAlignment="1">
      <alignment horizontal="right" vertical="center"/>
    </xf>
    <xf numFmtId="3" fontId="8" fillId="0" borderId="33" xfId="1" applyNumberFormat="1" applyFont="1" applyBorder="1" applyAlignment="1">
      <alignment horizontal="right" vertical="center"/>
    </xf>
    <xf numFmtId="10" fontId="8" fillId="0" borderId="22" xfId="1" applyNumberFormat="1" applyFont="1" applyBorder="1" applyAlignment="1">
      <alignment horizontal="right" vertical="center"/>
    </xf>
    <xf numFmtId="3" fontId="8" fillId="0" borderId="48" xfId="1" applyNumberFormat="1" applyFont="1" applyBorder="1" applyAlignment="1">
      <alignment horizontal="right" vertical="center"/>
    </xf>
    <xf numFmtId="3" fontId="7" fillId="0" borderId="1" xfId="0" applyNumberFormat="1" applyFont="1" applyBorder="1" applyAlignment="1">
      <alignment horizontal="right"/>
    </xf>
    <xf numFmtId="10" fontId="7" fillId="0" borderId="45" xfId="0" applyNumberFormat="1" applyFont="1" applyBorder="1" applyAlignment="1">
      <alignment horizontal="right"/>
    </xf>
    <xf numFmtId="167" fontId="7" fillId="0" borderId="42" xfId="0" applyNumberFormat="1" applyFont="1" applyBorder="1" applyAlignment="1">
      <alignment horizontal="right"/>
    </xf>
    <xf numFmtId="4" fontId="7" fillId="0" borderId="2" xfId="0" applyNumberFormat="1" applyFont="1" applyBorder="1" applyAlignment="1">
      <alignment horizontal="right"/>
    </xf>
    <xf numFmtId="3" fontId="7" fillId="0" borderId="2" xfId="1" applyNumberFormat="1" applyFont="1" applyBorder="1" applyAlignment="1">
      <alignment horizontal="right"/>
    </xf>
    <xf numFmtId="10" fontId="7" fillId="0" borderId="45" xfId="1" applyNumberFormat="1" applyFont="1" applyBorder="1" applyAlignment="1">
      <alignment horizontal="right"/>
    </xf>
    <xf numFmtId="3" fontId="7" fillId="0" borderId="1" xfId="1" applyNumberFormat="1" applyFont="1" applyBorder="1" applyAlignment="1">
      <alignment horizontal="right"/>
    </xf>
    <xf numFmtId="10" fontId="7" fillId="0" borderId="42" xfId="1" applyNumberFormat="1" applyFont="1" applyBorder="1" applyAlignment="1">
      <alignment horizontal="right"/>
    </xf>
    <xf numFmtId="3" fontId="7" fillId="0" borderId="4" xfId="1" applyNumberFormat="1" applyFont="1" applyBorder="1" applyAlignment="1">
      <alignment horizontal="right"/>
    </xf>
    <xf numFmtId="3" fontId="7" fillId="0" borderId="0" xfId="0" applyNumberFormat="1" applyFont="1" applyAlignment="1">
      <alignment horizontal="right"/>
    </xf>
    <xf numFmtId="10" fontId="7" fillId="0" borderId="0" xfId="0" applyNumberFormat="1" applyFont="1" applyAlignment="1">
      <alignment horizontal="right"/>
    </xf>
    <xf numFmtId="167" fontId="7" fillId="0" borderId="0" xfId="0" applyNumberFormat="1" applyFont="1" applyAlignment="1">
      <alignment horizontal="right"/>
    </xf>
    <xf numFmtId="4" fontId="7" fillId="0" borderId="0" xfId="0" applyNumberFormat="1" applyFont="1" applyAlignment="1">
      <alignment horizontal="right"/>
    </xf>
    <xf numFmtId="3" fontId="7" fillId="0" borderId="0" xfId="1" applyNumberFormat="1" applyFont="1" applyBorder="1" applyAlignment="1">
      <alignment horizontal="right"/>
    </xf>
    <xf numFmtId="10" fontId="7" fillId="0" borderId="0" xfId="1" applyNumberFormat="1" applyFont="1" applyBorder="1" applyAlignment="1">
      <alignment horizontal="right"/>
    </xf>
    <xf numFmtId="0" fontId="8" fillId="0" borderId="0" xfId="5" applyFont="1" applyAlignment="1">
      <alignment horizontal="left" vertical="center"/>
    </xf>
    <xf numFmtId="0" fontId="0" fillId="0" borderId="118" xfId="0" applyBorder="1" applyAlignment="1">
      <alignment horizontal="center" vertical="center" wrapText="1"/>
    </xf>
    <xf numFmtId="10" fontId="0" fillId="0" borderId="106" xfId="1" applyNumberFormat="1" applyFont="1" applyBorder="1" applyAlignment="1">
      <alignment horizontal="right" indent="1"/>
    </xf>
    <xf numFmtId="3" fontId="0" fillId="0" borderId="106" xfId="1" applyNumberFormat="1" applyFont="1" applyBorder="1" applyAlignment="1">
      <alignment horizontal="right" indent="1"/>
    </xf>
    <xf numFmtId="10" fontId="0" fillId="0" borderId="113" xfId="1" applyNumberFormat="1" applyFont="1" applyBorder="1" applyAlignment="1">
      <alignment horizontal="right" indent="1"/>
    </xf>
    <xf numFmtId="3" fontId="0" fillId="0" borderId="113" xfId="1" applyNumberFormat="1" applyFont="1" applyBorder="1" applyAlignment="1">
      <alignment horizontal="right" indent="1"/>
    </xf>
    <xf numFmtId="10" fontId="0" fillId="0" borderId="116" xfId="1" applyNumberFormat="1" applyFont="1" applyBorder="1" applyAlignment="1">
      <alignment horizontal="right" indent="1"/>
    </xf>
    <xf numFmtId="3" fontId="0" fillId="0" borderId="116" xfId="1" applyNumberFormat="1" applyFont="1" applyBorder="1" applyAlignment="1">
      <alignment horizontal="right" indent="1"/>
    </xf>
    <xf numFmtId="10" fontId="0" fillId="0" borderId="108" xfId="1" applyNumberFormat="1" applyFont="1" applyBorder="1" applyAlignment="1">
      <alignment horizontal="right" indent="1"/>
    </xf>
    <xf numFmtId="3" fontId="0" fillId="0" borderId="108" xfId="1" applyNumberFormat="1" applyFont="1" applyBorder="1" applyAlignment="1">
      <alignment horizontal="right" indent="1"/>
    </xf>
    <xf numFmtId="10" fontId="12" fillId="0" borderId="51" xfId="1" applyNumberFormat="1" applyFont="1" applyBorder="1" applyAlignment="1">
      <alignment horizontal="right" indent="1"/>
    </xf>
    <xf numFmtId="3" fontId="12" fillId="0" borderId="51" xfId="1" applyNumberFormat="1" applyFont="1" applyBorder="1" applyAlignment="1">
      <alignment horizontal="right" indent="1"/>
    </xf>
    <xf numFmtId="10" fontId="12" fillId="0" borderId="0" xfId="1" applyNumberFormat="1" applyFont="1" applyBorder="1" applyAlignment="1">
      <alignment horizontal="right" indent="1"/>
    </xf>
    <xf numFmtId="10" fontId="1" fillId="0" borderId="0" xfId="1" applyNumberFormat="1" applyFont="1" applyBorder="1" applyAlignment="1">
      <alignment horizontal="right"/>
    </xf>
    <xf numFmtId="173" fontId="0" fillId="0" borderId="0" xfId="0" applyNumberFormat="1"/>
    <xf numFmtId="174" fontId="0" fillId="0" borderId="0" xfId="0" applyNumberFormat="1"/>
    <xf numFmtId="0" fontId="8" fillId="0" borderId="43" xfId="8" applyFont="1" applyBorder="1" applyAlignment="1">
      <alignment horizontal="center" vertical="center" wrapText="1"/>
    </xf>
    <xf numFmtId="0" fontId="8" fillId="0" borderId="17" xfId="5" applyFont="1" applyBorder="1" applyAlignment="1">
      <alignment horizontal="left" vertical="center" wrapText="1"/>
    </xf>
    <xf numFmtId="0" fontId="8" fillId="0" borderId="10" xfId="5" applyFont="1" applyBorder="1" applyAlignment="1">
      <alignment horizontal="left" vertical="center" wrapText="1"/>
    </xf>
    <xf numFmtId="0" fontId="8" fillId="0" borderId="47" xfId="5" applyFont="1" applyBorder="1" applyAlignment="1">
      <alignment horizontal="left" vertical="center" wrapText="1"/>
    </xf>
    <xf numFmtId="0" fontId="8" fillId="0" borderId="0" xfId="5" applyFont="1" applyAlignment="1">
      <alignment horizontal="left" vertical="center" wrapText="1"/>
    </xf>
    <xf numFmtId="3" fontId="8" fillId="0" borderId="13" xfId="1" applyNumberFormat="1" applyFont="1" applyBorder="1" applyAlignment="1">
      <alignment horizontal="right" vertical="center" wrapText="1"/>
    </xf>
    <xf numFmtId="10" fontId="8" fillId="0" borderId="39" xfId="1" applyNumberFormat="1" applyFont="1" applyBorder="1" applyAlignment="1">
      <alignment horizontal="right" vertical="center" wrapText="1"/>
    </xf>
    <xf numFmtId="0" fontId="0" fillId="0" borderId="0" xfId="0" applyAlignment="1">
      <alignment wrapText="1"/>
    </xf>
    <xf numFmtId="175" fontId="0" fillId="0" borderId="0" xfId="0" applyNumberFormat="1"/>
    <xf numFmtId="0" fontId="8" fillId="0" borderId="0" xfId="0" applyFont="1" applyAlignment="1">
      <alignment horizontal="left" wrapText="1"/>
    </xf>
    <xf numFmtId="0" fontId="5" fillId="0" borderId="14" xfId="10" applyFont="1" applyBorder="1" applyAlignment="1">
      <alignment horizontal="left" vertical="center"/>
    </xf>
    <xf numFmtId="0" fontId="6" fillId="0" borderId="0" xfId="10" applyFont="1" applyAlignment="1">
      <alignment horizontal="left" vertical="center"/>
    </xf>
    <xf numFmtId="0" fontId="14" fillId="6" borderId="3" xfId="10" applyFont="1" applyFill="1" applyBorder="1" applyAlignment="1">
      <alignment horizontal="left" vertical="center"/>
    </xf>
    <xf numFmtId="0" fontId="14" fillId="6" borderId="77" xfId="10" applyFont="1" applyFill="1" applyBorder="1" applyAlignment="1">
      <alignment horizontal="left" vertical="center"/>
    </xf>
    <xf numFmtId="0" fontId="17" fillId="0" borderId="21" xfId="10" applyFont="1" applyBorder="1" applyAlignment="1">
      <alignment horizontal="left" vertical="center"/>
    </xf>
    <xf numFmtId="0" fontId="17" fillId="0" borderId="54" xfId="10" applyFont="1" applyBorder="1" applyAlignment="1">
      <alignment horizontal="left" vertical="center"/>
    </xf>
    <xf numFmtId="0" fontId="17" fillId="0" borderId="16" xfId="10" applyFont="1" applyBorder="1" applyAlignment="1">
      <alignment horizontal="left" vertical="center"/>
    </xf>
    <xf numFmtId="0" fontId="6" fillId="0" borderId="11" xfId="10" applyFont="1" applyBorder="1" applyAlignment="1">
      <alignment horizontal="left" vertical="center"/>
    </xf>
    <xf numFmtId="0" fontId="6" fillId="0" borderId="8" xfId="10" applyFont="1" applyBorder="1" applyAlignment="1">
      <alignment horizontal="left" vertical="center"/>
    </xf>
    <xf numFmtId="0" fontId="6" fillId="0" borderId="21" xfId="10" applyFont="1" applyBorder="1" applyAlignment="1">
      <alignment horizontal="left" vertical="center"/>
    </xf>
    <xf numFmtId="0" fontId="6" fillId="0" borderId="54" xfId="10" applyFont="1" applyBorder="1" applyAlignment="1">
      <alignment horizontal="left" vertical="center"/>
    </xf>
    <xf numFmtId="0" fontId="6" fillId="0" borderId="24" xfId="10" applyFont="1" applyBorder="1" applyAlignment="1">
      <alignment horizontal="left" vertical="center"/>
    </xf>
    <xf numFmtId="0" fontId="6" fillId="0" borderId="84" xfId="10" applyFont="1" applyBorder="1" applyAlignment="1">
      <alignment horizontal="left" vertical="center"/>
    </xf>
    <xf numFmtId="0" fontId="23" fillId="6" borderId="3" xfId="10" applyFont="1" applyFill="1" applyBorder="1" applyAlignment="1">
      <alignment horizontal="left" vertical="center"/>
    </xf>
    <xf numFmtId="0" fontId="23" fillId="6" borderId="77" xfId="10" applyFont="1" applyFill="1" applyBorder="1" applyAlignment="1">
      <alignment horizontal="left" vertical="center"/>
    </xf>
    <xf numFmtId="0" fontId="23" fillId="6" borderId="32" xfId="10" applyFont="1" applyFill="1" applyBorder="1" applyAlignment="1">
      <alignment horizontal="left" vertical="center"/>
    </xf>
    <xf numFmtId="0" fontId="23" fillId="6" borderId="72" xfId="10" applyFont="1" applyFill="1" applyBorder="1" applyAlignment="1">
      <alignment horizontal="left" vertical="center"/>
    </xf>
    <xf numFmtId="0" fontId="30" fillId="0" borderId="21" xfId="10" applyFont="1" applyBorder="1" applyAlignment="1">
      <alignment horizontal="left" vertical="center"/>
    </xf>
    <xf numFmtId="0" fontId="30" fillId="0" borderId="54" xfId="10" applyFont="1" applyBorder="1" applyAlignment="1">
      <alignment horizontal="left" vertical="center"/>
    </xf>
    <xf numFmtId="0" fontId="30" fillId="0" borderId="16" xfId="10" applyFont="1" applyBorder="1" applyAlignment="1">
      <alignment horizontal="left" vertical="center"/>
    </xf>
    <xf numFmtId="10" fontId="18" fillId="0" borderId="58" xfId="10" applyNumberFormat="1" applyFont="1" applyBorder="1" applyAlignment="1">
      <alignment horizontal="center" vertical="center" wrapText="1"/>
    </xf>
    <xf numFmtId="10" fontId="18" fillId="0" borderId="65" xfId="10" applyNumberFormat="1" applyFont="1" applyBorder="1" applyAlignment="1">
      <alignment horizontal="center" vertical="center" wrapText="1"/>
    </xf>
    <xf numFmtId="10" fontId="18" fillId="0" borderId="29" xfId="10" applyNumberFormat="1" applyFont="1" applyBorder="1" applyAlignment="1">
      <alignment horizontal="center" vertical="center" wrapText="1"/>
    </xf>
    <xf numFmtId="49" fontId="18" fillId="0" borderId="15" xfId="10" applyNumberFormat="1" applyFont="1" applyBorder="1" applyAlignment="1">
      <alignment horizontal="center" vertical="center" wrapText="1"/>
    </xf>
    <xf numFmtId="49" fontId="18" fillId="0" borderId="19" xfId="10" applyNumberFormat="1" applyFont="1" applyBorder="1" applyAlignment="1">
      <alignment horizontal="center" vertical="center" wrapText="1"/>
    </xf>
    <xf numFmtId="49" fontId="18" fillId="0" borderId="26" xfId="10" applyNumberFormat="1" applyFont="1" applyBorder="1" applyAlignment="1">
      <alignment horizontal="center" vertical="center" wrapText="1"/>
    </xf>
    <xf numFmtId="1" fontId="5" fillId="0" borderId="3" xfId="10" applyNumberFormat="1" applyFont="1" applyBorder="1" applyAlignment="1">
      <alignment horizontal="center" vertical="center"/>
    </xf>
    <xf numFmtId="1" fontId="5" fillId="0" borderId="77" xfId="10" applyNumberFormat="1" applyFont="1" applyBorder="1" applyAlignment="1">
      <alignment horizontal="center" vertical="center"/>
    </xf>
    <xf numFmtId="0" fontId="6" fillId="6" borderId="11" xfId="10" applyFont="1" applyFill="1" applyBorder="1" applyAlignment="1">
      <alignment horizontal="left" vertical="center"/>
    </xf>
    <xf numFmtId="0" fontId="6" fillId="6" borderId="8" xfId="10" applyFont="1" applyFill="1" applyBorder="1" applyAlignment="1">
      <alignment horizontal="left" vertical="center"/>
    </xf>
    <xf numFmtId="0" fontId="6" fillId="0" borderId="35" xfId="10" applyFont="1" applyBorder="1" applyAlignment="1">
      <alignment horizontal="left" vertical="center"/>
    </xf>
    <xf numFmtId="0" fontId="6" fillId="0" borderId="81" xfId="10" applyFont="1" applyBorder="1" applyAlignment="1">
      <alignment horizontal="left" vertical="center"/>
    </xf>
    <xf numFmtId="49" fontId="18" fillId="0" borderId="6" xfId="10" applyNumberFormat="1" applyFont="1" applyBorder="1" applyAlignment="1">
      <alignment horizontal="center" vertical="center" wrapText="1"/>
    </xf>
    <xf numFmtId="49" fontId="18" fillId="0" borderId="28" xfId="10" applyNumberFormat="1" applyFont="1" applyBorder="1" applyAlignment="1">
      <alignment horizontal="center" vertical="center" wrapText="1"/>
    </xf>
    <xf numFmtId="49" fontId="18" fillId="0" borderId="31" xfId="10" applyNumberFormat="1" applyFont="1" applyBorder="1" applyAlignment="1">
      <alignment horizontal="center" vertical="center" wrapText="1"/>
    </xf>
    <xf numFmtId="49" fontId="7" fillId="7" borderId="62" xfId="10" applyNumberFormat="1" applyFont="1" applyFill="1" applyBorder="1" applyAlignment="1">
      <alignment horizontal="center" vertical="center" wrapText="1"/>
    </xf>
    <xf numFmtId="49" fontId="7" fillId="7" borderId="70" xfId="10" applyNumberFormat="1" applyFont="1" applyFill="1" applyBorder="1" applyAlignment="1">
      <alignment horizontal="center" vertical="center" wrapText="1"/>
    </xf>
    <xf numFmtId="49" fontId="7" fillId="7" borderId="76" xfId="10" applyNumberFormat="1" applyFont="1" applyFill="1" applyBorder="1" applyAlignment="1">
      <alignment horizontal="center" vertical="center" wrapText="1"/>
    </xf>
    <xf numFmtId="10" fontId="18" fillId="0" borderId="52" xfId="10" applyNumberFormat="1" applyFont="1" applyBorder="1" applyAlignment="1">
      <alignment horizontal="center" vertical="center" wrapText="1"/>
    </xf>
    <xf numFmtId="10" fontId="18" fillId="0" borderId="66" xfId="10" applyNumberFormat="1" applyFont="1" applyBorder="1" applyAlignment="1">
      <alignment horizontal="center" vertical="center" wrapText="1"/>
    </xf>
    <xf numFmtId="10" fontId="18" fillId="0" borderId="30" xfId="10" applyNumberFormat="1" applyFont="1" applyBorder="1" applyAlignment="1">
      <alignment horizontal="center" vertical="center" wrapText="1"/>
    </xf>
    <xf numFmtId="49" fontId="18" fillId="0" borderId="59" xfId="10" applyNumberFormat="1" applyFont="1" applyBorder="1" applyAlignment="1">
      <alignment horizontal="center" vertical="center" wrapText="1"/>
    </xf>
    <xf numFmtId="49" fontId="18" fillId="0" borderId="67" xfId="10" applyNumberFormat="1" applyFont="1" applyBorder="1" applyAlignment="1">
      <alignment horizontal="center" vertical="center" wrapText="1"/>
    </xf>
    <xf numFmtId="49" fontId="18" fillId="0" borderId="73" xfId="10" applyNumberFormat="1" applyFont="1" applyBorder="1" applyAlignment="1">
      <alignment horizontal="center" vertical="center" wrapText="1"/>
    </xf>
    <xf numFmtId="49" fontId="7" fillId="8" borderId="60" xfId="10" applyNumberFormat="1" applyFont="1" applyFill="1" applyBorder="1" applyAlignment="1">
      <alignment horizontal="center" vertical="center" wrapText="1"/>
    </xf>
    <xf numFmtId="49" fontId="7" fillId="8" borderId="68" xfId="10" applyNumberFormat="1" applyFont="1" applyFill="1" applyBorder="1" applyAlignment="1">
      <alignment horizontal="center" vertical="center" wrapText="1"/>
    </xf>
    <xf numFmtId="49" fontId="7" fillId="8" borderId="74" xfId="10" applyNumberFormat="1" applyFont="1" applyFill="1" applyBorder="1" applyAlignment="1">
      <alignment horizontal="center" vertical="center" wrapText="1"/>
    </xf>
    <xf numFmtId="10" fontId="18" fillId="0" borderId="61" xfId="10" applyNumberFormat="1" applyFont="1" applyBorder="1" applyAlignment="1">
      <alignment horizontal="center" vertical="center" wrapText="1"/>
    </xf>
    <xf numFmtId="10" fontId="18" fillId="0" borderId="69" xfId="10" applyNumberFormat="1" applyFont="1" applyBorder="1" applyAlignment="1">
      <alignment horizontal="center" vertical="center" wrapText="1"/>
    </xf>
    <xf numFmtId="10" fontId="18" fillId="0" borderId="75" xfId="10" applyNumberFormat="1" applyFont="1" applyBorder="1" applyAlignment="1">
      <alignment horizontal="center" vertical="center" wrapText="1"/>
    </xf>
    <xf numFmtId="0" fontId="5" fillId="6" borderId="22" xfId="11" applyFont="1" applyFill="1" applyBorder="1" applyAlignment="1">
      <alignment horizontal="left" vertical="center" wrapText="1"/>
    </xf>
    <xf numFmtId="0" fontId="5" fillId="6" borderId="23" xfId="11" applyFont="1" applyFill="1" applyBorder="1" applyAlignment="1">
      <alignment horizontal="left" vertical="center" wrapText="1"/>
    </xf>
    <xf numFmtId="0" fontId="5" fillId="6" borderId="20" xfId="10" applyFont="1" applyFill="1" applyBorder="1" applyAlignment="1">
      <alignment horizontal="left" vertical="center" wrapText="1"/>
    </xf>
    <xf numFmtId="0" fontId="5" fillId="6" borderId="14" xfId="10" applyFont="1" applyFill="1" applyBorder="1" applyAlignment="1">
      <alignment horizontal="left" vertical="center" wrapText="1"/>
    </xf>
    <xf numFmtId="0" fontId="6" fillId="6" borderId="0" xfId="10" applyFont="1" applyFill="1" applyAlignment="1">
      <alignment horizontal="center" vertical="center"/>
    </xf>
    <xf numFmtId="0" fontId="5" fillId="6" borderId="22" xfId="10" applyFont="1" applyFill="1" applyBorder="1" applyAlignment="1">
      <alignment horizontal="left" vertical="center" wrapText="1"/>
    </xf>
    <xf numFmtId="0" fontId="5" fillId="6" borderId="23" xfId="10" applyFont="1" applyFill="1" applyBorder="1" applyAlignment="1">
      <alignment horizontal="left" vertical="center" wrapText="1"/>
    </xf>
    <xf numFmtId="0" fontId="17" fillId="6" borderId="0" xfId="10" applyFont="1" applyFill="1" applyAlignment="1">
      <alignment horizontal="left" vertical="center"/>
    </xf>
    <xf numFmtId="0" fontId="5" fillId="0" borderId="5" xfId="10" applyFont="1" applyBorder="1" applyAlignment="1">
      <alignment horizontal="center" vertical="center" textRotation="90" wrapText="1"/>
    </xf>
    <xf numFmtId="0" fontId="5" fillId="0" borderId="27" xfId="10" applyFont="1" applyBorder="1" applyAlignment="1">
      <alignment horizontal="center" vertical="center" textRotation="90" wrapText="1"/>
    </xf>
    <xf numFmtId="0" fontId="5" fillId="0" borderId="55" xfId="10" applyFont="1" applyBorder="1" applyAlignment="1">
      <alignment horizontal="center" vertical="center" textRotation="90" wrapText="1"/>
    </xf>
    <xf numFmtId="0" fontId="5" fillId="0" borderId="63" xfId="10" applyFont="1" applyBorder="1" applyAlignment="1">
      <alignment horizontal="center" vertical="center" textRotation="90" wrapText="1"/>
    </xf>
    <xf numFmtId="0" fontId="5" fillId="0" borderId="56" xfId="10" applyFont="1" applyBorder="1" applyAlignment="1">
      <alignment horizontal="center" vertical="center" wrapText="1"/>
    </xf>
    <xf numFmtId="0" fontId="5" fillId="0" borderId="57" xfId="10" applyFont="1" applyBorder="1" applyAlignment="1">
      <alignment horizontal="center" vertical="center" wrapText="1"/>
    </xf>
    <xf numFmtId="0" fontId="5" fillId="0" borderId="58" xfId="10" applyFont="1" applyBorder="1" applyAlignment="1">
      <alignment horizontal="center" vertical="center" wrapText="1"/>
    </xf>
    <xf numFmtId="0" fontId="5" fillId="0" borderId="64" xfId="10" applyFont="1" applyBorder="1" applyAlignment="1">
      <alignment horizontal="center" vertical="center" wrapText="1"/>
    </xf>
    <xf numFmtId="0" fontId="5" fillId="0" borderId="0" xfId="10" applyFont="1" applyAlignment="1">
      <alignment horizontal="center" vertical="center" wrapText="1"/>
    </xf>
    <xf numFmtId="0" fontId="5" fillId="0" borderId="65" xfId="10" applyFont="1" applyBorder="1" applyAlignment="1">
      <alignment horizontal="center" vertical="center" wrapText="1"/>
    </xf>
    <xf numFmtId="0" fontId="5" fillId="0" borderId="71" xfId="10" applyFont="1" applyBorder="1" applyAlignment="1">
      <alignment horizontal="center" vertical="center" wrapText="1"/>
    </xf>
    <xf numFmtId="0" fontId="5" fillId="0" borderId="72" xfId="10" applyFont="1" applyBorder="1" applyAlignment="1">
      <alignment horizontal="center" vertical="center" wrapText="1"/>
    </xf>
    <xf numFmtId="0" fontId="5" fillId="0" borderId="29" xfId="10" applyFont="1" applyBorder="1" applyAlignment="1">
      <alignment horizontal="center" vertical="center" wrapText="1"/>
    </xf>
    <xf numFmtId="49" fontId="5" fillId="0" borderId="10" xfId="10" applyNumberFormat="1" applyFont="1" applyBorder="1" applyAlignment="1">
      <alignment horizontal="center" vertical="center" wrapText="1"/>
    </xf>
    <xf numFmtId="49" fontId="5" fillId="0" borderId="14" xfId="10" applyNumberFormat="1" applyFont="1" applyBorder="1" applyAlignment="1">
      <alignment horizontal="center" vertical="center" wrapText="1"/>
    </xf>
    <xf numFmtId="49" fontId="5" fillId="0" borderId="23" xfId="10" applyNumberFormat="1" applyFont="1" applyBorder="1" applyAlignment="1">
      <alignment horizontal="center" vertical="center" wrapText="1"/>
    </xf>
    <xf numFmtId="0" fontId="3" fillId="6" borderId="0" xfId="10" applyFont="1" applyFill="1" applyAlignment="1">
      <alignment horizontal="center" vertical="center" wrapText="1"/>
    </xf>
    <xf numFmtId="0" fontId="5" fillId="6" borderId="53" xfId="11" applyFont="1" applyFill="1" applyBorder="1" applyAlignment="1">
      <alignment horizontal="left" vertical="center" wrapText="1"/>
    </xf>
    <xf numFmtId="0" fontId="5" fillId="6" borderId="54" xfId="11" applyFont="1" applyFill="1" applyBorder="1" applyAlignment="1">
      <alignment horizontal="left" vertical="center" wrapText="1"/>
    </xf>
    <xf numFmtId="0" fontId="5" fillId="6" borderId="16" xfId="11" applyFont="1" applyFill="1" applyBorder="1" applyAlignment="1">
      <alignment horizontal="left" vertical="center" wrapText="1"/>
    </xf>
    <xf numFmtId="0" fontId="14" fillId="6" borderId="1" xfId="10" applyFont="1" applyFill="1" applyBorder="1" applyAlignment="1">
      <alignment horizontal="center" vertical="center"/>
    </xf>
    <xf numFmtId="0" fontId="14" fillId="6" borderId="2" xfId="10" applyFont="1" applyFill="1" applyBorder="1" applyAlignment="1">
      <alignment horizontal="center" vertical="center"/>
    </xf>
    <xf numFmtId="0" fontId="14" fillId="6" borderId="5" xfId="10" applyFont="1" applyFill="1" applyBorder="1" applyAlignment="1">
      <alignment horizontal="center" vertical="center"/>
    </xf>
    <xf numFmtId="0" fontId="14" fillId="6" borderId="52" xfId="10" applyFont="1" applyFill="1" applyBorder="1" applyAlignment="1">
      <alignment horizontal="center" vertical="center"/>
    </xf>
    <xf numFmtId="0" fontId="5" fillId="6" borderId="7" xfId="10" applyFont="1" applyFill="1" applyBorder="1" applyAlignment="1">
      <alignment horizontal="left" vertical="center" wrapText="1"/>
    </xf>
    <xf numFmtId="0" fontId="5" fillId="6" borderId="8" xfId="10" applyFont="1" applyFill="1" applyBorder="1" applyAlignment="1">
      <alignment horizontal="left" vertical="center" wrapText="1"/>
    </xf>
    <xf numFmtId="0" fontId="5" fillId="6" borderId="9" xfId="10" applyFont="1" applyFill="1" applyBorder="1" applyAlignment="1">
      <alignment horizontal="left" vertical="center" wrapText="1"/>
    </xf>
    <xf numFmtId="0" fontId="5" fillId="6" borderId="13" xfId="11" applyFont="1" applyFill="1" applyBorder="1" applyAlignment="1">
      <alignment horizontal="left" vertical="center" wrapText="1"/>
    </xf>
    <xf numFmtId="0" fontId="5" fillId="6" borderId="10" xfId="11" applyFont="1" applyFill="1" applyBorder="1" applyAlignment="1">
      <alignment horizontal="left" vertical="center" wrapText="1"/>
    </xf>
    <xf numFmtId="0" fontId="0" fillId="10" borderId="7" xfId="0" applyFill="1" applyBorder="1" applyAlignment="1">
      <alignment horizontal="center" vertical="center" wrapText="1"/>
    </xf>
    <xf numFmtId="0" fontId="0" fillId="10" borderId="39" xfId="0" applyFill="1" applyBorder="1" applyAlignment="1">
      <alignment horizontal="center" vertical="center" wrapText="1"/>
    </xf>
    <xf numFmtId="0" fontId="12" fillId="10" borderId="49" xfId="0" applyFont="1" applyFill="1" applyBorder="1" applyAlignment="1">
      <alignment horizontal="center" vertical="center" wrapText="1"/>
    </xf>
    <xf numFmtId="0" fontId="12" fillId="10" borderId="51" xfId="0" applyFont="1" applyFill="1" applyBorder="1" applyAlignment="1">
      <alignment horizontal="center" vertical="center" wrapText="1"/>
    </xf>
    <xf numFmtId="0" fontId="12" fillId="11" borderId="1" xfId="0" applyFont="1" applyFill="1" applyBorder="1" applyAlignment="1">
      <alignment horizontal="center"/>
    </xf>
    <xf numFmtId="0" fontId="12" fillId="11" borderId="4" xfId="0" applyFont="1" applyFill="1" applyBorder="1" applyAlignment="1">
      <alignment horizontal="center"/>
    </xf>
    <xf numFmtId="0" fontId="0" fillId="10" borderId="5" xfId="0" applyFill="1" applyBorder="1" applyAlignment="1">
      <alignment horizontal="center"/>
    </xf>
    <xf numFmtId="0" fontId="0" fillId="10" borderId="6" xfId="0" applyFill="1" applyBorder="1" applyAlignment="1">
      <alignment horizontal="center"/>
    </xf>
    <xf numFmtId="0" fontId="0" fillId="10" borderId="7" xfId="0" applyFill="1" applyBorder="1" applyAlignment="1">
      <alignment horizontal="center" vertical="center"/>
    </xf>
    <xf numFmtId="0" fontId="0" fillId="10" borderId="107" xfId="0" applyFill="1" applyBorder="1" applyAlignment="1">
      <alignment horizontal="center" vertical="center"/>
    </xf>
    <xf numFmtId="0" fontId="0" fillId="10" borderId="106" xfId="0" applyFill="1" applyBorder="1" applyAlignment="1">
      <alignment horizontal="center" vertical="center"/>
    </xf>
    <xf numFmtId="0" fontId="0" fillId="10" borderId="108" xfId="0" applyFill="1" applyBorder="1" applyAlignment="1">
      <alignment horizontal="center" vertical="center"/>
    </xf>
    <xf numFmtId="0" fontId="0" fillId="10" borderId="13" xfId="0" applyFill="1" applyBorder="1" applyAlignment="1">
      <alignment horizontal="center" vertical="center" wrapText="1"/>
    </xf>
    <xf numFmtId="0" fontId="0" fillId="10" borderId="10" xfId="0" applyFill="1" applyBorder="1" applyAlignment="1">
      <alignment horizontal="center" vertical="center" wrapText="1"/>
    </xf>
    <xf numFmtId="0" fontId="0" fillId="10" borderId="11" xfId="0" applyFill="1" applyBorder="1" applyAlignment="1">
      <alignment horizontal="center" vertical="center" wrapText="1"/>
    </xf>
    <xf numFmtId="0" fontId="12" fillId="12" borderId="1" xfId="0" applyFont="1" applyFill="1" applyBorder="1" applyAlignment="1">
      <alignment horizontal="center"/>
    </xf>
    <xf numFmtId="0" fontId="12" fillId="12" borderId="4" xfId="0" applyFont="1" applyFill="1" applyBorder="1" applyAlignment="1">
      <alignment horizontal="center"/>
    </xf>
    <xf numFmtId="0" fontId="0" fillId="10" borderId="8" xfId="0" applyFill="1" applyBorder="1" applyAlignment="1">
      <alignment horizontal="center" vertical="center" wrapText="1"/>
    </xf>
    <xf numFmtId="0" fontId="12" fillId="13" borderId="1" xfId="0" applyFont="1" applyFill="1" applyBorder="1" applyAlignment="1">
      <alignment horizontal="center"/>
    </xf>
    <xf numFmtId="0" fontId="12" fillId="13" borderId="4" xfId="0" applyFont="1" applyFill="1" applyBorder="1" applyAlignment="1">
      <alignment horizontal="center"/>
    </xf>
    <xf numFmtId="0" fontId="0" fillId="10" borderId="39" xfId="0" applyFill="1" applyBorder="1" applyAlignment="1">
      <alignment horizontal="center" vertical="center"/>
    </xf>
    <xf numFmtId="0" fontId="0" fillId="10" borderId="13" xfId="0" applyFill="1" applyBorder="1" applyAlignment="1">
      <alignment horizontal="center" vertical="center"/>
    </xf>
    <xf numFmtId="0" fontId="0" fillId="10" borderId="10" xfId="0" applyFill="1" applyBorder="1" applyAlignment="1">
      <alignment horizontal="center" vertical="center"/>
    </xf>
    <xf numFmtId="0" fontId="0" fillId="10" borderId="11" xfId="0" applyFill="1" applyBorder="1" applyAlignment="1">
      <alignment horizontal="center" vertical="center"/>
    </xf>
    <xf numFmtId="0" fontId="12" fillId="14" borderId="1" xfId="0" applyFont="1" applyFill="1" applyBorder="1" applyAlignment="1">
      <alignment horizontal="center"/>
    </xf>
    <xf numFmtId="0" fontId="12" fillId="14" borderId="4" xfId="0" applyFont="1" applyFill="1" applyBorder="1" applyAlignment="1">
      <alignment horizontal="center"/>
    </xf>
    <xf numFmtId="0" fontId="7" fillId="0" borderId="42" xfId="8" applyFont="1" applyBorder="1" applyAlignment="1">
      <alignment horizontal="center" vertical="center"/>
    </xf>
    <xf numFmtId="0" fontId="7" fillId="0" borderId="77" xfId="8" applyFont="1" applyBorder="1" applyAlignment="1">
      <alignment horizontal="center" vertical="center"/>
    </xf>
    <xf numFmtId="0" fontId="7" fillId="0" borderId="45" xfId="8" applyFont="1" applyBorder="1" applyAlignment="1">
      <alignment horizontal="center" vertical="center"/>
    </xf>
    <xf numFmtId="0" fontId="7" fillId="0" borderId="13" xfId="8" applyFont="1" applyBorder="1" applyAlignment="1">
      <alignment horizontal="center" vertical="center"/>
    </xf>
    <xf numFmtId="0" fontId="7" fillId="0" borderId="22" xfId="8" applyFont="1" applyBorder="1" applyAlignment="1">
      <alignment horizontal="center" vertical="center"/>
    </xf>
    <xf numFmtId="0" fontId="7" fillId="0" borderId="10" xfId="8" applyFont="1" applyBorder="1" applyAlignment="1">
      <alignment horizontal="center" vertical="center"/>
    </xf>
    <xf numFmtId="0" fontId="7" fillId="0" borderId="23" xfId="8" applyFont="1" applyBorder="1" applyAlignment="1">
      <alignment horizontal="center" vertical="center"/>
    </xf>
    <xf numFmtId="0" fontId="7" fillId="0" borderId="15" xfId="8" applyFont="1" applyBorder="1" applyAlignment="1">
      <alignment horizontal="center" vertical="center"/>
    </xf>
    <xf numFmtId="0" fontId="7" fillId="0" borderId="26" xfId="8" applyFont="1" applyBorder="1" applyAlignment="1">
      <alignment horizontal="center" vertical="center"/>
    </xf>
    <xf numFmtId="10" fontId="8" fillId="0" borderId="105" xfId="0" applyNumberFormat="1" applyFont="1" applyBorder="1" applyAlignment="1">
      <alignment horizontal="center" vertical="center" wrapText="1"/>
    </xf>
    <xf numFmtId="10" fontId="8" fillId="0" borderId="78" xfId="0" applyNumberFormat="1" applyFont="1" applyBorder="1" applyAlignment="1">
      <alignment horizontal="center" vertical="center" wrapText="1"/>
    </xf>
    <xf numFmtId="4" fontId="8" fillId="0" borderId="5" xfId="0" applyNumberFormat="1" applyFont="1" applyBorder="1" applyAlignment="1">
      <alignment horizontal="center" vertical="center" wrapText="1"/>
    </xf>
    <xf numFmtId="4" fontId="8" fillId="0" borderId="38" xfId="0" applyNumberFormat="1" applyFont="1" applyBorder="1" applyAlignment="1">
      <alignment horizontal="center" vertical="center" wrapText="1"/>
    </xf>
    <xf numFmtId="10" fontId="8" fillId="0" borderId="27" xfId="0" applyNumberFormat="1" applyFont="1" applyBorder="1" applyAlignment="1">
      <alignment horizontal="center" vertical="center" wrapText="1"/>
    </xf>
    <xf numFmtId="10" fontId="8" fillId="0" borderId="38" xfId="0" applyNumberFormat="1" applyFont="1" applyBorder="1" applyAlignment="1">
      <alignment horizontal="center" vertical="center" wrapText="1"/>
    </xf>
    <xf numFmtId="4" fontId="8" fillId="0" borderId="78" xfId="0" applyNumberFormat="1" applyFont="1" applyBorder="1" applyAlignment="1">
      <alignment horizontal="center" vertical="center" wrapText="1"/>
    </xf>
    <xf numFmtId="4" fontId="8" fillId="0" borderId="65" xfId="0" applyNumberFormat="1" applyFont="1" applyBorder="1" applyAlignment="1">
      <alignment horizontal="center" vertical="center" wrapText="1"/>
    </xf>
    <xf numFmtId="4" fontId="8" fillId="0" borderId="29" xfId="0" applyNumberFormat="1" applyFont="1" applyBorder="1" applyAlignment="1">
      <alignment horizontal="center" vertical="center" wrapText="1"/>
    </xf>
    <xf numFmtId="4" fontId="8" fillId="0" borderId="66" xfId="0" applyNumberFormat="1" applyFont="1" applyBorder="1" applyAlignment="1">
      <alignment horizontal="center" vertical="center" wrapText="1"/>
    </xf>
    <xf numFmtId="4" fontId="8" fillId="0" borderId="30" xfId="0" applyNumberFormat="1" applyFont="1" applyBorder="1" applyAlignment="1">
      <alignment horizontal="center" vertical="center" wrapText="1"/>
    </xf>
    <xf numFmtId="4" fontId="8" fillId="0" borderId="27" xfId="0" applyNumberFormat="1" applyFont="1" applyBorder="1" applyAlignment="1">
      <alignment horizontal="center" vertical="center" wrapText="1"/>
    </xf>
    <xf numFmtId="0" fontId="7" fillId="0" borderId="27" xfId="8" applyFont="1" applyBorder="1" applyAlignment="1">
      <alignment horizontal="center" vertical="center"/>
    </xf>
    <xf numFmtId="0" fontId="7" fillId="0" borderId="65" xfId="8" applyFont="1" applyBorder="1" applyAlignment="1">
      <alignment horizontal="center" vertical="center"/>
    </xf>
    <xf numFmtId="0" fontId="7" fillId="0" borderId="78" xfId="8" applyFont="1" applyBorder="1" applyAlignment="1">
      <alignment horizontal="center" vertical="center"/>
    </xf>
    <xf numFmtId="9" fontId="7" fillId="0" borderId="42" xfId="1" applyFont="1" applyFill="1" applyBorder="1" applyAlignment="1">
      <alignment horizontal="center"/>
    </xf>
    <xf numFmtId="9" fontId="7" fillId="0" borderId="45" xfId="1" applyFont="1" applyFill="1" applyBorder="1" applyAlignment="1">
      <alignment horizontal="center"/>
    </xf>
    <xf numFmtId="0" fontId="7" fillId="0" borderId="42" xfId="0" applyFont="1" applyBorder="1" applyAlignment="1">
      <alignment horizontal="center"/>
    </xf>
    <xf numFmtId="0" fontId="7" fillId="0" borderId="77" xfId="0" applyFont="1" applyBorder="1" applyAlignment="1">
      <alignment horizontal="center"/>
    </xf>
    <xf numFmtId="9" fontId="7" fillId="0" borderId="42" xfId="0" applyNumberFormat="1" applyFont="1" applyBorder="1" applyAlignment="1">
      <alignment horizontal="right"/>
    </xf>
    <xf numFmtId="9" fontId="7" fillId="0" borderId="45" xfId="0" applyNumberFormat="1" applyFont="1" applyBorder="1" applyAlignment="1">
      <alignment horizontal="right"/>
    </xf>
    <xf numFmtId="9" fontId="7" fillId="0" borderId="77" xfId="0" applyNumberFormat="1" applyFont="1" applyBorder="1" applyAlignment="1">
      <alignment horizontal="right"/>
    </xf>
    <xf numFmtId="0" fontId="0" fillId="0" borderId="13"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9"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5" xfId="0" applyBorder="1" applyAlignment="1">
      <alignment horizontal="center"/>
    </xf>
    <xf numFmtId="0" fontId="12" fillId="0" borderId="1" xfId="0" applyFont="1" applyBorder="1" applyAlignment="1">
      <alignment horizontal="center"/>
    </xf>
    <xf numFmtId="0" fontId="12" fillId="0" borderId="4" xfId="0" applyFont="1" applyBorder="1" applyAlignment="1">
      <alignment horizontal="center"/>
    </xf>
    <xf numFmtId="9" fontId="0" fillId="0" borderId="1" xfId="0" applyNumberFormat="1" applyBorder="1" applyAlignment="1">
      <alignment horizontal="right"/>
    </xf>
    <xf numFmtId="9" fontId="0" fillId="0" borderId="3" xfId="0" applyNumberFormat="1" applyBorder="1" applyAlignment="1">
      <alignment horizontal="right"/>
    </xf>
    <xf numFmtId="9" fontId="0" fillId="0" borderId="4" xfId="0" applyNumberFormat="1" applyBorder="1" applyAlignment="1">
      <alignment horizontal="right"/>
    </xf>
    <xf numFmtId="0" fontId="0" fillId="0" borderId="44" xfId="0" applyBorder="1" applyAlignment="1">
      <alignment horizontal="center"/>
    </xf>
    <xf numFmtId="0" fontId="0" fillId="0" borderId="17" xfId="0" applyBorder="1" applyAlignment="1">
      <alignment horizontal="center"/>
    </xf>
    <xf numFmtId="0" fontId="0" fillId="0" borderId="43" xfId="0" applyBorder="1" applyAlignment="1">
      <alignment horizontal="center"/>
    </xf>
    <xf numFmtId="0" fontId="0" fillId="0" borderId="12" xfId="0" applyBorder="1" applyAlignment="1">
      <alignment horizontal="center"/>
    </xf>
    <xf numFmtId="0" fontId="0" fillId="0" borderId="33" xfId="0" applyBorder="1" applyAlignment="1">
      <alignment horizontal="center" vertical="center" wrapText="1"/>
    </xf>
    <xf numFmtId="0" fontId="0" fillId="0" borderId="10"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12" fillId="0" borderId="71" xfId="0" applyFont="1" applyBorder="1" applyAlignment="1">
      <alignment horizontal="center"/>
    </xf>
    <xf numFmtId="0" fontId="12" fillId="0" borderId="72" xfId="0" applyFont="1" applyBorder="1" applyAlignment="1">
      <alignment horizontal="center"/>
    </xf>
    <xf numFmtId="0" fontId="12" fillId="0" borderId="109" xfId="0" applyFont="1" applyBorder="1" applyAlignment="1">
      <alignment horizontal="center"/>
    </xf>
    <xf numFmtId="0" fontId="8" fillId="0" borderId="0" xfId="8" applyFont="1" applyAlignment="1">
      <alignment horizontal="left"/>
    </xf>
    <xf numFmtId="0" fontId="0" fillId="0" borderId="7" xfId="0" applyBorder="1" applyAlignment="1">
      <alignment horizontal="center"/>
    </xf>
    <xf numFmtId="0" fontId="0" fillId="0" borderId="39" xfId="0" applyBorder="1" applyAlignment="1">
      <alignment horizontal="center"/>
    </xf>
    <xf numFmtId="0" fontId="8" fillId="0" borderId="36" xfId="8" applyFont="1" applyBorder="1" applyAlignment="1">
      <alignment horizontal="center" vertical="center"/>
    </xf>
    <xf numFmtId="0" fontId="8" fillId="0" borderId="29" xfId="8" applyFont="1" applyBorder="1" applyAlignment="1">
      <alignment horizontal="center" vertical="center"/>
    </xf>
    <xf numFmtId="0" fontId="7" fillId="0" borderId="6" xfId="8" applyFont="1" applyBorder="1" applyAlignment="1">
      <alignment horizontal="center" vertical="center"/>
    </xf>
    <xf numFmtId="0" fontId="7" fillId="0" borderId="28" xfId="8" applyFont="1" applyBorder="1" applyAlignment="1">
      <alignment horizontal="center" vertical="center"/>
    </xf>
    <xf numFmtId="0" fontId="7" fillId="0" borderId="31" xfId="8" applyFont="1" applyBorder="1" applyAlignment="1">
      <alignment horizontal="center" vertical="center"/>
    </xf>
    <xf numFmtId="0" fontId="7" fillId="0" borderId="5" xfId="8" applyFont="1" applyBorder="1" applyAlignment="1">
      <alignment horizontal="center" vertical="center"/>
    </xf>
    <xf numFmtId="0" fontId="7" fillId="0" borderId="38" xfId="8" applyFont="1" applyBorder="1" applyAlignment="1">
      <alignment horizontal="center" vertical="center"/>
    </xf>
    <xf numFmtId="0" fontId="7" fillId="0" borderId="49" xfId="8" applyFont="1" applyBorder="1" applyAlignment="1">
      <alignment horizontal="center" vertical="center"/>
    </xf>
    <xf numFmtId="0" fontId="7" fillId="0" borderId="50" xfId="8" applyFont="1" applyBorder="1" applyAlignment="1">
      <alignment horizontal="center" vertical="center"/>
    </xf>
    <xf numFmtId="0" fontId="7" fillId="0" borderId="51" xfId="8" applyFont="1" applyBorder="1" applyAlignment="1">
      <alignment horizontal="center" vertical="center"/>
    </xf>
    <xf numFmtId="0" fontId="8" fillId="0" borderId="35" xfId="8" applyFont="1" applyBorder="1" applyAlignment="1">
      <alignment horizontal="center" vertical="center" wrapText="1"/>
    </xf>
    <xf numFmtId="0" fontId="8" fillId="0" borderId="63" xfId="8" applyFont="1" applyBorder="1" applyAlignment="1">
      <alignment horizontal="center" vertical="center" wrapText="1"/>
    </xf>
    <xf numFmtId="0" fontId="8" fillId="0" borderId="33"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4" xfId="8" applyFont="1" applyBorder="1" applyAlignment="1">
      <alignment horizontal="center" vertical="center" wrapText="1"/>
    </xf>
    <xf numFmtId="0" fontId="8" fillId="0" borderId="30" xfId="8" applyFont="1" applyBorder="1" applyAlignment="1">
      <alignment horizontal="center" vertical="center" wrapText="1"/>
    </xf>
    <xf numFmtId="0" fontId="8" fillId="0" borderId="34" xfId="8" applyFont="1" applyBorder="1" applyAlignment="1">
      <alignment horizontal="center" vertical="center"/>
    </xf>
    <xf numFmtId="0" fontId="8" fillId="0" borderId="30" xfId="8" applyFont="1" applyBorder="1" applyAlignment="1">
      <alignment horizontal="center" vertical="center"/>
    </xf>
    <xf numFmtId="0" fontId="7" fillId="0" borderId="9" xfId="8" applyFont="1" applyBorder="1" applyAlignment="1">
      <alignment horizontal="center"/>
    </xf>
    <xf numFmtId="0" fontId="7" fillId="0" borderId="10" xfId="8" applyFont="1" applyBorder="1" applyAlignment="1">
      <alignment horizontal="center"/>
    </xf>
    <xf numFmtId="0" fontId="7" fillId="0" borderId="11" xfId="8" applyFont="1" applyBorder="1" applyAlignment="1">
      <alignment horizontal="center"/>
    </xf>
    <xf numFmtId="0" fontId="7" fillId="0" borderId="13" xfId="8" applyFont="1" applyBorder="1" applyAlignment="1">
      <alignment horizontal="center"/>
    </xf>
    <xf numFmtId="0" fontId="7" fillId="0" borderId="15" xfId="8" applyFont="1" applyBorder="1" applyAlignment="1">
      <alignment horizontal="center"/>
    </xf>
    <xf numFmtId="0" fontId="8" fillId="0" borderId="37" xfId="8" applyFont="1" applyBorder="1" applyAlignment="1">
      <alignment horizontal="center" vertical="center"/>
    </xf>
    <xf numFmtId="0" fontId="8" fillId="0" borderId="31" xfId="8" applyFont="1" applyBorder="1" applyAlignment="1">
      <alignment horizontal="center" vertical="center"/>
    </xf>
    <xf numFmtId="0" fontId="8" fillId="0" borderId="33" xfId="8" applyFont="1" applyBorder="1" applyAlignment="1">
      <alignment horizontal="center" vertical="center"/>
    </xf>
    <xf numFmtId="0" fontId="8" fillId="0" borderId="38" xfId="8" applyFont="1" applyBorder="1" applyAlignment="1">
      <alignment horizontal="center" vertical="center"/>
    </xf>
    <xf numFmtId="0" fontId="8" fillId="0" borderId="35" xfId="8" applyFont="1" applyBorder="1" applyAlignment="1">
      <alignment horizontal="center" vertical="center"/>
    </xf>
    <xf numFmtId="0" fontId="8" fillId="0" borderId="32" xfId="8" applyFont="1" applyBorder="1" applyAlignment="1">
      <alignment horizontal="center" vertical="center"/>
    </xf>
    <xf numFmtId="0" fontId="7" fillId="0" borderId="56" xfId="8" applyFont="1" applyBorder="1" applyAlignment="1">
      <alignment horizontal="center"/>
    </xf>
    <xf numFmtId="0" fontId="7" fillId="0" borderId="57" xfId="8" applyFont="1" applyBorder="1" applyAlignment="1">
      <alignment horizontal="center"/>
    </xf>
    <xf numFmtId="0" fontId="7" fillId="0" borderId="105" xfId="8" applyFont="1" applyBorder="1" applyAlignment="1">
      <alignment horizontal="center"/>
    </xf>
    <xf numFmtId="0" fontId="3" fillId="0" borderId="0" xfId="5" applyFont="1" applyAlignment="1">
      <alignment horizontal="left" vertical="center"/>
    </xf>
    <xf numFmtId="0" fontId="5" fillId="0" borderId="56" xfId="12" applyFont="1" applyBorder="1" applyAlignment="1">
      <alignment horizontal="center" vertical="center"/>
    </xf>
    <xf numFmtId="0" fontId="5" fillId="0" borderId="71" xfId="12" applyFont="1" applyBorder="1" applyAlignment="1">
      <alignment horizontal="center" vertical="center"/>
    </xf>
    <xf numFmtId="0" fontId="44" fillId="0" borderId="6" xfId="12" applyFont="1" applyBorder="1" applyAlignment="1">
      <alignment horizontal="center" vertical="center"/>
    </xf>
    <xf numFmtId="0" fontId="44" fillId="0" borderId="31" xfId="12" applyFont="1" applyBorder="1" applyAlignment="1">
      <alignment horizontal="center" vertical="center"/>
    </xf>
    <xf numFmtId="0" fontId="38" fillId="0" borderId="15" xfId="5" applyFont="1" applyBorder="1" applyAlignment="1">
      <alignment horizontal="center" vertical="center" wrapText="1"/>
    </xf>
    <xf numFmtId="0" fontId="38" fillId="0" borderId="37" xfId="5" applyFont="1" applyBorder="1" applyAlignment="1">
      <alignment horizontal="center" vertical="center" wrapText="1"/>
    </xf>
    <xf numFmtId="0" fontId="44" fillId="0" borderId="71" xfId="5" applyFont="1" applyBorder="1" applyAlignment="1">
      <alignment horizontal="center" vertical="center"/>
    </xf>
    <xf numFmtId="0" fontId="44" fillId="0" borderId="29" xfId="5" applyFont="1" applyBorder="1" applyAlignment="1">
      <alignment horizontal="center" vertical="center"/>
    </xf>
    <xf numFmtId="0" fontId="38" fillId="0" borderId="21" xfId="5" applyFont="1" applyBorder="1" applyAlignment="1">
      <alignment horizontal="left" indent="1"/>
    </xf>
    <xf numFmtId="0" fontId="38" fillId="0" borderId="54" xfId="5" applyFont="1" applyBorder="1" applyAlignment="1">
      <alignment horizontal="left" indent="1"/>
    </xf>
    <xf numFmtId="0" fontId="38" fillId="0" borderId="16" xfId="5" applyFont="1" applyBorder="1" applyAlignment="1">
      <alignment horizontal="left" indent="1"/>
    </xf>
    <xf numFmtId="0" fontId="38" fillId="0" borderId="13" xfId="5" applyFont="1" applyBorder="1" applyAlignment="1">
      <alignment horizontal="center" vertical="center" wrapText="1"/>
    </xf>
    <xf numFmtId="0" fontId="38" fillId="0" borderId="33" xfId="5" applyFont="1" applyBorder="1" applyAlignment="1">
      <alignment horizontal="center" vertical="center" wrapText="1"/>
    </xf>
    <xf numFmtId="0" fontId="38" fillId="0" borderId="10" xfId="5" applyFont="1" applyBorder="1" applyAlignment="1">
      <alignment horizontal="center" vertical="center" wrapText="1"/>
    </xf>
    <xf numFmtId="0" fontId="38" fillId="0" borderId="34" xfId="5" applyFont="1" applyBorder="1" applyAlignment="1">
      <alignment horizontal="center" vertical="center" wrapText="1"/>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46" fillId="0" borderId="0" xfId="5" applyFont="1" applyAlignment="1">
      <alignment horizontal="left" vertical="center" wrapText="1"/>
    </xf>
    <xf numFmtId="0" fontId="12" fillId="0" borderId="42" xfId="0" applyFont="1" applyBorder="1" applyAlignment="1">
      <alignment horizontal="center"/>
    </xf>
    <xf numFmtId="0" fontId="12" fillId="0" borderId="77" xfId="0" applyFont="1" applyBorder="1" applyAlignment="1">
      <alignment horizontal="center"/>
    </xf>
    <xf numFmtId="0" fontId="7" fillId="0" borderId="42" xfId="5" applyFont="1" applyBorder="1" applyAlignment="1">
      <alignment horizontal="center" vertical="center"/>
    </xf>
    <xf numFmtId="0" fontId="7" fillId="0" borderId="45" xfId="5" applyFont="1" applyBorder="1" applyAlignment="1">
      <alignment horizontal="center" vertical="center"/>
    </xf>
    <xf numFmtId="0" fontId="47" fillId="0" borderId="0" xfId="5" applyFont="1" applyAlignment="1">
      <alignment horizontal="left" vertical="center" wrapText="1"/>
    </xf>
    <xf numFmtId="0" fontId="7" fillId="0" borderId="13" xfId="5" applyFont="1" applyBorder="1" applyAlignment="1">
      <alignment horizontal="center" vertical="center" wrapText="1"/>
    </xf>
    <xf numFmtId="0" fontId="7" fillId="0" borderId="22"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6" xfId="5" applyFont="1" applyBorder="1" applyAlignment="1">
      <alignment horizontal="center" vertical="center" wrapText="1"/>
    </xf>
    <xf numFmtId="0" fontId="7" fillId="0" borderId="9" xfId="5" applyFont="1" applyBorder="1" applyAlignment="1">
      <alignment horizontal="center" vertical="center" wrapText="1"/>
    </xf>
    <xf numFmtId="0" fontId="7" fillId="0" borderId="11" xfId="5" applyFont="1" applyBorder="1" applyAlignment="1">
      <alignment horizontal="center" vertical="center" wrapText="1"/>
    </xf>
    <xf numFmtId="0" fontId="7" fillId="0" borderId="49"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5" xfId="8" applyFont="1" applyBorder="1" applyAlignment="1">
      <alignment horizontal="center" vertical="center" wrapText="1"/>
    </xf>
    <xf numFmtId="0" fontId="7" fillId="0" borderId="38" xfId="8" applyFont="1" applyBorder="1" applyAlignment="1">
      <alignment horizontal="center" vertical="center" wrapText="1"/>
    </xf>
    <xf numFmtId="0" fontId="7" fillId="0" borderId="6" xfId="8" applyFont="1" applyBorder="1" applyAlignment="1">
      <alignment horizontal="center" vertical="center" wrapText="1"/>
    </xf>
    <xf numFmtId="0" fontId="7" fillId="0" borderId="31" xfId="8" applyFont="1" applyBorder="1" applyAlignment="1">
      <alignment horizontal="center" vertical="center" wrapText="1"/>
    </xf>
    <xf numFmtId="0" fontId="7" fillId="0" borderId="7" xfId="8" applyFont="1" applyBorder="1" applyAlignment="1">
      <alignment horizontal="center" vertical="center" wrapText="1"/>
    </xf>
    <xf numFmtId="0" fontId="7" fillId="0" borderId="8" xfId="8" applyFont="1" applyBorder="1" applyAlignment="1">
      <alignment horizontal="center" vertical="center" wrapText="1"/>
    </xf>
    <xf numFmtId="0" fontId="7" fillId="0" borderId="49" xfId="8" applyFont="1" applyBorder="1" applyAlignment="1">
      <alignment horizontal="center" vertical="center" wrapText="1"/>
    </xf>
    <xf numFmtId="0" fontId="7" fillId="0" borderId="51" xfId="8" applyFont="1" applyBorder="1" applyAlignment="1">
      <alignment horizontal="center" vertical="center" wrapText="1"/>
    </xf>
  </cellXfs>
  <cellStyles count="14">
    <cellStyle name="Čárka 2" xfId="13" xr:uid="{00000000-0005-0000-0000-00003B000000}"/>
    <cellStyle name="Hypertextový odkaz" xfId="9" builtinId="8"/>
    <cellStyle name="Nadpis - excel" xfId="2" xr:uid="{00000000-0005-0000-0000-000001000000}"/>
    <cellStyle name="Normální" xfId="0" builtinId="0"/>
    <cellStyle name="Normální 10" xfId="3" xr:uid="{00000000-0005-0000-0000-000003000000}"/>
    <cellStyle name="Normální 11 2" xfId="8" xr:uid="{00000000-0005-0000-0000-000004000000}"/>
    <cellStyle name="normální 14 2 2" xfId="5" xr:uid="{00000000-0005-0000-0000-000005000000}"/>
    <cellStyle name="Normální 2" xfId="4" xr:uid="{00000000-0005-0000-0000-000006000000}"/>
    <cellStyle name="normální 2 5" xfId="6" xr:uid="{00000000-0005-0000-0000-000007000000}"/>
    <cellStyle name="normální_Tab.1-bilance PV" xfId="11" xr:uid="{00000000-0005-0000-0000-000008000000}"/>
    <cellStyle name="normální_Tabulka 1-Bilanční-návrh 13.1.04" xfId="10" xr:uid="{00000000-0005-0000-0000-000009000000}"/>
    <cellStyle name="normální_Ubyt a strav 2002" xfId="12" xr:uid="{00000000-0005-0000-0000-00000A000000}"/>
    <cellStyle name="Procenta" xfId="1" builtinId="5"/>
    <cellStyle name="Procenta 3 2" xfId="7" xr:uid="{00000000-0005-0000-0000-00000C000000}"/>
  </cellStyles>
  <dxfs count="0"/>
  <tableStyles count="0" defaultTableStyle="TableStyleMedium2" defaultPivotStyle="PivotStyleLight16"/>
  <colors>
    <mruColors>
      <color rgb="FF9BC2E6"/>
      <color rgb="FFF4B084"/>
      <color rgb="FFFFD966"/>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22412</xdr:colOff>
      <xdr:row>24</xdr:row>
      <xdr:rowOff>123265</xdr:rowOff>
    </xdr:from>
    <xdr:ext cx="184731" cy="264560"/>
    <xdr:sp macro="" textlink="">
      <xdr:nvSpPr>
        <xdr:cNvPr id="2" name="TextovéPole 1">
          <a:extLst>
            <a:ext uri="{FF2B5EF4-FFF2-40B4-BE49-F238E27FC236}">
              <a16:creationId xmlns:a16="http://schemas.microsoft.com/office/drawing/2014/main" id="{D8FBE59A-1B17-4AE4-BDF4-DC5D419B2103}"/>
            </a:ext>
          </a:extLst>
        </xdr:cNvPr>
        <xdr:cNvSpPr txBox="1"/>
      </xdr:nvSpPr>
      <xdr:spPr>
        <a:xfrm>
          <a:off x="5692588" y="4661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9</xdr:row>
      <xdr:rowOff>0</xdr:rowOff>
    </xdr:from>
    <xdr:ext cx="9525" cy="316624"/>
    <xdr:pic>
      <xdr:nvPicPr>
        <xdr:cNvPr id="2" name="Picture 1" descr="https://sims.ics.muni.cz/sims_is/img/bod.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xdr:row>
      <xdr:rowOff>0</xdr:rowOff>
    </xdr:from>
    <xdr:ext cx="9525" cy="316624"/>
    <xdr:pic>
      <xdr:nvPicPr>
        <xdr:cNvPr id="3" name="Picture 2" descr="https://sims.ics.muni.cz/sims_is/img/bod.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E24"/>
  <sheetViews>
    <sheetView tabSelected="1" zoomScale="85" zoomScaleNormal="85" workbookViewId="0">
      <selection activeCell="E14" sqref="E14"/>
    </sheetView>
  </sheetViews>
  <sheetFormatPr defaultRowHeight="15" x14ac:dyDescent="0.25"/>
  <cols>
    <col min="1" max="1" width="6.28515625" customWidth="1"/>
    <col min="2" max="2" width="69.7109375" customWidth="1"/>
  </cols>
  <sheetData>
    <row r="1" spans="1:5" ht="27.75" x14ac:dyDescent="0.4">
      <c r="A1" s="530" t="s">
        <v>305</v>
      </c>
      <c r="B1" s="531"/>
      <c r="C1" s="531"/>
      <c r="D1" s="531"/>
      <c r="E1" s="531"/>
    </row>
    <row r="3" spans="1:5" x14ac:dyDescent="0.25">
      <c r="A3" s="532" t="s">
        <v>186</v>
      </c>
    </row>
    <row r="4" spans="1:5" x14ac:dyDescent="0.25">
      <c r="A4" s="533"/>
    </row>
    <row r="5" spans="1:5" x14ac:dyDescent="0.25">
      <c r="A5" s="534">
        <v>1</v>
      </c>
      <c r="B5" s="619" t="s">
        <v>306</v>
      </c>
      <c r="C5" s="539"/>
    </row>
    <row r="6" spans="1:5" x14ac:dyDescent="0.25">
      <c r="A6" s="534">
        <v>2</v>
      </c>
      <c r="B6" s="619" t="s">
        <v>295</v>
      </c>
      <c r="C6" s="539"/>
    </row>
    <row r="7" spans="1:5" x14ac:dyDescent="0.25">
      <c r="A7" s="534" t="s">
        <v>195</v>
      </c>
      <c r="B7" s="619" t="s">
        <v>188</v>
      </c>
      <c r="C7" s="538"/>
    </row>
    <row r="8" spans="1:5" x14ac:dyDescent="0.25">
      <c r="A8" s="534" t="s">
        <v>196</v>
      </c>
      <c r="B8" s="619" t="s">
        <v>189</v>
      </c>
      <c r="C8" s="538"/>
    </row>
    <row r="9" spans="1:5" x14ac:dyDescent="0.25">
      <c r="A9" s="534" t="s">
        <v>197</v>
      </c>
      <c r="B9" s="619" t="s">
        <v>190</v>
      </c>
      <c r="C9" s="538"/>
    </row>
    <row r="10" spans="1:5" x14ac:dyDescent="0.25">
      <c r="A10" s="534" t="s">
        <v>198</v>
      </c>
      <c r="B10" s="619" t="s">
        <v>191</v>
      </c>
      <c r="C10" s="535"/>
    </row>
    <row r="11" spans="1:5" x14ac:dyDescent="0.25">
      <c r="A11" s="534" t="s">
        <v>199</v>
      </c>
      <c r="B11" s="620" t="s">
        <v>209</v>
      </c>
      <c r="C11" s="535"/>
    </row>
    <row r="12" spans="1:5" x14ac:dyDescent="0.25">
      <c r="A12" s="534" t="s">
        <v>200</v>
      </c>
      <c r="B12" s="620" t="s">
        <v>192</v>
      </c>
      <c r="C12" s="535"/>
    </row>
    <row r="13" spans="1:5" x14ac:dyDescent="0.25">
      <c r="A13" s="534" t="s">
        <v>210</v>
      </c>
      <c r="B13" s="620" t="s">
        <v>193</v>
      </c>
      <c r="C13" s="535"/>
    </row>
    <row r="14" spans="1:5" x14ac:dyDescent="0.25">
      <c r="A14" s="534" t="s">
        <v>211</v>
      </c>
      <c r="B14" s="620" t="s">
        <v>212</v>
      </c>
      <c r="C14" s="535"/>
    </row>
    <row r="15" spans="1:5" x14ac:dyDescent="0.25">
      <c r="A15" s="534">
        <v>4</v>
      </c>
      <c r="B15" s="620" t="s">
        <v>201</v>
      </c>
      <c r="C15" s="535"/>
    </row>
    <row r="16" spans="1:5" x14ac:dyDescent="0.25">
      <c r="A16" s="536">
        <v>5</v>
      </c>
      <c r="B16" s="620" t="s">
        <v>96</v>
      </c>
      <c r="C16" s="538"/>
    </row>
    <row r="17" spans="1:3" x14ac:dyDescent="0.25">
      <c r="A17" s="536">
        <v>6</v>
      </c>
      <c r="B17" s="620" t="s">
        <v>132</v>
      </c>
      <c r="C17" s="538"/>
    </row>
    <row r="18" spans="1:3" x14ac:dyDescent="0.25">
      <c r="A18" s="534">
        <v>7</v>
      </c>
      <c r="B18" s="620" t="s">
        <v>102</v>
      </c>
      <c r="C18" s="538"/>
    </row>
    <row r="19" spans="1:3" x14ac:dyDescent="0.25">
      <c r="A19" s="534">
        <v>8</v>
      </c>
      <c r="B19" s="619" t="s">
        <v>171</v>
      </c>
      <c r="C19" s="538"/>
    </row>
    <row r="20" spans="1:3" x14ac:dyDescent="0.25">
      <c r="A20" s="534">
        <v>9</v>
      </c>
      <c r="B20" s="619" t="s">
        <v>183</v>
      </c>
      <c r="C20" s="537"/>
    </row>
    <row r="21" spans="1:3" x14ac:dyDescent="0.25">
      <c r="A21" s="534" t="s">
        <v>213</v>
      </c>
      <c r="B21" s="619" t="s">
        <v>187</v>
      </c>
      <c r="C21" s="537"/>
    </row>
    <row r="22" spans="1:3" x14ac:dyDescent="0.25">
      <c r="A22" s="534" t="s">
        <v>214</v>
      </c>
      <c r="B22" s="619" t="s">
        <v>194</v>
      </c>
      <c r="C22" s="537"/>
    </row>
    <row r="23" spans="1:3" x14ac:dyDescent="0.25">
      <c r="A23" s="534"/>
      <c r="B23" s="535"/>
      <c r="C23" s="537"/>
    </row>
    <row r="24" spans="1:3" x14ac:dyDescent="0.25">
      <c r="A24" s="534"/>
      <c r="B24" s="535"/>
      <c r="C24" s="535"/>
    </row>
  </sheetData>
  <hyperlinks>
    <hyperlink ref="B5" location="'1 Bilance'!A1" display="Bilance zdrojů pro rozdělení příspěvku a dotací vysokým školám v roce 2021" xr:uid="{3BBAFBB5-07DC-4DD7-85C5-D55300EA62F4}"/>
    <hyperlink ref="B7" location="'2a Výkonová část segment 1'!A1" display="Výkonová část - segment 1" xr:uid="{42330568-A9FA-4D23-93AE-FF47AFDDCB1A}"/>
    <hyperlink ref="B8" location="'2b Výkonová část segment 2'!A1" display="Výkonová část - segment 2" xr:uid="{2FFC135B-878F-483F-BB19-5CCE9345D8F7}"/>
    <hyperlink ref="B9" location="'2c Výkonová část segment 3'!A1" display="Výkonová část - segment 3" xr:uid="{45B03F80-3B4D-4C12-B6BC-0A2F4C0EB18F}"/>
    <hyperlink ref="B10" location="'2d Výkonová část segment 4'!A1" display="Výkonová část - segment 4" xr:uid="{9B689671-7A30-4BB4-A05D-3BBFC7A32D19}"/>
    <hyperlink ref="B11" location="'3a Ukazatel P - lékařské fakult'!A1" display="Ukazatel P - Lékařské fakulty" xr:uid="{558D2358-A000-4AAE-934E-20B38AE4AE5E}"/>
    <hyperlink ref="B12" location="'3b Ukazatel P - Pedagog. fak.'!A1" display="Ukazatel P - Pedagogické fakulty" xr:uid="{22506269-CEE3-4D76-9AA1-518C5854D7B4}"/>
    <hyperlink ref="B13" location="'3c Ukazatel P - pedagogické SP'!A1" display="Ukazatel P - Pedagogické SP" xr:uid="{E43816B4-AEB2-4FE5-845E-D33B7812A47B}"/>
    <hyperlink ref="B14" location="'3d Ukazatel P - deficitní aprob'!A1" display="Ukazatel P - Deficitní aprobace" xr:uid="{E1ED6C8C-B9A7-49C5-860F-0EB79BCF84EB}"/>
    <hyperlink ref="B15" location="'4 RO I'!A1" display="Rozpočtový okruh I" xr:uid="{9714560D-C0C3-4213-8974-13DA47F6B714}"/>
    <hyperlink ref="B16" location="'5 Ukazatel C'!A1" display="Ukazatel C" xr:uid="{CBEA28DB-F5A1-466D-B683-079FF0974A8F}"/>
    <hyperlink ref="B17" location="'6 Ukazatel J'!A1" display="Ukazatel J" xr:uid="{088DED6F-9C35-4075-9BB0-5C2A6C4F2647}"/>
    <hyperlink ref="B18" location="'7 Ukazatel U'!A1" display="Ukazatel U" xr:uid="{3BDF37AA-13B1-4868-8127-3FFDB292E42F}"/>
    <hyperlink ref="B19" location="'8 Ukazatel I'!A1" display="Ukazatel I" xr:uid="{5C5FE5E6-1CD8-4D42-A717-7212CD38847E}"/>
    <hyperlink ref="B20" location="'9 Fond umělecké činnosti'!A1" display="Fond umělecké činnosti" xr:uid="{7BE4E29E-7127-47C7-AC07-99788BAC4C3D}"/>
    <hyperlink ref="B21" location="'10a Ukazatel F - U3V'!A1" display="Ukazatel F - U3V" xr:uid="{D0991906-6674-47B5-85BF-A5450A5EBE12}"/>
    <hyperlink ref="B22" location="'10b Ukazatel F - SSP'!A1" display="Ukazatel F - SSP " xr:uid="{8D1AB21D-2B79-4896-AA86-ACB590E4B405}"/>
    <hyperlink ref="B6" location="'2 Nastavení podílů segmentů'!A1" display="Nastavení podílů segmentů" xr:uid="{14E27E94-7E59-4EB3-9254-9433647CA01C}"/>
  </hyperlinks>
  <pageMargins left="0.70866141732283472" right="0.70866141732283472" top="0.78740157480314965" bottom="0.78740157480314965" header="0.31496062992125984" footer="0.31496062992125984"/>
  <pageSetup paperSize="9" scale="73" orientation="portrait" r:id="rId1"/>
  <headerFooter>
    <oddHeader xml:space="preserve">&amp;LČ. j.:1468 /2023-1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I92"/>
  <sheetViews>
    <sheetView topLeftCell="A40" zoomScale="70" zoomScaleNormal="70" workbookViewId="0">
      <selection activeCell="B2" sqref="B2"/>
    </sheetView>
  </sheetViews>
  <sheetFormatPr defaultRowHeight="15" x14ac:dyDescent="0.25"/>
  <cols>
    <col min="1" max="1" width="4.140625" customWidth="1"/>
    <col min="3" max="3" width="51.140625" customWidth="1"/>
    <col min="4" max="4" width="28" bestFit="1" customWidth="1"/>
    <col min="5" max="8" width="28" customWidth="1"/>
    <col min="9" max="9" width="24.5703125" customWidth="1"/>
    <col min="11" max="11" width="36.7109375" customWidth="1"/>
  </cols>
  <sheetData>
    <row r="1" spans="1:9" ht="27.75" x14ac:dyDescent="0.25">
      <c r="A1" s="316" t="s">
        <v>173</v>
      </c>
    </row>
    <row r="2" spans="1:9" ht="15.75" customHeight="1" x14ac:dyDescent="0.25">
      <c r="A2" s="316"/>
      <c r="B2" t="s">
        <v>185</v>
      </c>
    </row>
    <row r="3" spans="1:9" ht="15.75" customHeight="1" x14ac:dyDescent="0.25">
      <c r="A3" s="316"/>
    </row>
    <row r="4" spans="1:9" ht="15.75" customHeight="1" x14ac:dyDescent="0.25">
      <c r="A4" s="316"/>
    </row>
    <row r="5" spans="1:9" ht="15.75" customHeight="1" x14ac:dyDescent="0.25">
      <c r="A5" s="316"/>
      <c r="C5" s="528" t="s">
        <v>326</v>
      </c>
      <c r="D5" s="11">
        <v>85000000</v>
      </c>
      <c r="E5" t="s">
        <v>34</v>
      </c>
    </row>
    <row r="6" spans="1:9" ht="15.75" customHeight="1" thickBot="1" x14ac:dyDescent="0.3">
      <c r="A6" s="316"/>
    </row>
    <row r="7" spans="1:9" ht="15.75" thickBot="1" x14ac:dyDescent="0.3">
      <c r="D7" s="1040">
        <v>0.4</v>
      </c>
      <c r="E7" s="1041"/>
      <c r="F7" s="1040">
        <v>0.6</v>
      </c>
      <c r="G7" s="1042"/>
    </row>
    <row r="8" spans="1:9" x14ac:dyDescent="0.25">
      <c r="B8" s="1030" t="s">
        <v>2</v>
      </c>
      <c r="C8" s="1032" t="s">
        <v>3</v>
      </c>
      <c r="D8" s="1043" t="s">
        <v>174</v>
      </c>
      <c r="E8" s="1044"/>
      <c r="F8" s="1045" t="s">
        <v>175</v>
      </c>
      <c r="G8" s="1046"/>
      <c r="H8" s="1035" t="s">
        <v>28</v>
      </c>
      <c r="I8" s="1037"/>
    </row>
    <row r="9" spans="1:9" ht="34.5" customHeight="1" thickBot="1" x14ac:dyDescent="0.3">
      <c r="B9" s="1031"/>
      <c r="C9" s="1033"/>
      <c r="D9" s="486" t="s">
        <v>176</v>
      </c>
      <c r="E9" s="487" t="s">
        <v>142</v>
      </c>
      <c r="F9" s="488" t="s">
        <v>176</v>
      </c>
      <c r="G9" s="489" t="s">
        <v>142</v>
      </c>
      <c r="H9" s="487" t="s">
        <v>142</v>
      </c>
      <c r="I9" s="489" t="s">
        <v>144</v>
      </c>
    </row>
    <row r="10" spans="1:9" x14ac:dyDescent="0.25">
      <c r="B10" s="490">
        <v>11000</v>
      </c>
      <c r="C10" s="491" t="s">
        <v>4</v>
      </c>
      <c r="D10" s="492"/>
      <c r="E10" s="493">
        <f>0.5*E32+0.3*E53+0.2*E74</f>
        <v>0.1849382526629314</v>
      </c>
      <c r="F10" s="494"/>
      <c r="G10" s="495">
        <f t="shared" ref="G10:G25" si="0">0.5*G32+0.3*G53+0.2*G74</f>
        <v>0.16360198607061985</v>
      </c>
      <c r="H10" s="496">
        <f>$D$7*E10+$F$7*G10</f>
        <v>0.17213649270754447</v>
      </c>
      <c r="I10" s="497">
        <f>ROUND(H10*$D$5,0)</f>
        <v>14631602</v>
      </c>
    </row>
    <row r="11" spans="1:9" x14ac:dyDescent="0.25">
      <c r="B11" s="498">
        <v>12000</v>
      </c>
      <c r="C11" s="499" t="s">
        <v>5</v>
      </c>
      <c r="D11" s="500"/>
      <c r="E11" s="501">
        <f t="shared" ref="E11:E25" si="1">0.5*E33+0.3*E54+0.2*E75</f>
        <v>6.2226455027973887E-2</v>
      </c>
      <c r="F11" s="447"/>
      <c r="G11" s="448">
        <f t="shared" si="0"/>
        <v>7.5641205070587691E-2</v>
      </c>
      <c r="H11" s="502">
        <f t="shared" ref="H11:H25" si="2">$D$7*E11+$F$7*G11</f>
        <v>7.0275305053542181E-2</v>
      </c>
      <c r="I11" s="445">
        <f t="shared" ref="I11:I25" si="3">ROUND(H11*$D$5,0)</f>
        <v>5973401</v>
      </c>
    </row>
    <row r="12" spans="1:9" x14ac:dyDescent="0.25">
      <c r="B12" s="498">
        <v>13000</v>
      </c>
      <c r="C12" s="499" t="s">
        <v>6</v>
      </c>
      <c r="D12" s="500"/>
      <c r="E12" s="501">
        <f t="shared" si="1"/>
        <v>6.3101412068051255E-2</v>
      </c>
      <c r="F12" s="447"/>
      <c r="G12" s="448">
        <f t="shared" si="0"/>
        <v>5.073941922073099E-2</v>
      </c>
      <c r="H12" s="502">
        <f t="shared" si="2"/>
        <v>5.5684216359659096E-2</v>
      </c>
      <c r="I12" s="445">
        <f t="shared" si="3"/>
        <v>4733158</v>
      </c>
    </row>
    <row r="13" spans="1:9" x14ac:dyDescent="0.25">
      <c r="B13" s="498">
        <v>14000</v>
      </c>
      <c r="C13" s="499" t="s">
        <v>7</v>
      </c>
      <c r="D13" s="500"/>
      <c r="E13" s="501">
        <f t="shared" si="1"/>
        <v>0.17051563612358184</v>
      </c>
      <c r="F13" s="447"/>
      <c r="G13" s="448">
        <f t="shared" si="0"/>
        <v>0.20458184406232205</v>
      </c>
      <c r="H13" s="502">
        <f t="shared" si="2"/>
        <v>0.19095536088682596</v>
      </c>
      <c r="I13" s="445">
        <f t="shared" si="3"/>
        <v>16231206</v>
      </c>
    </row>
    <row r="14" spans="1:9" x14ac:dyDescent="0.25">
      <c r="B14" s="498">
        <v>15000</v>
      </c>
      <c r="C14" s="499" t="s">
        <v>8</v>
      </c>
      <c r="D14" s="500"/>
      <c r="E14" s="501">
        <f t="shared" si="1"/>
        <v>0.19962057219501628</v>
      </c>
      <c r="F14" s="447"/>
      <c r="G14" s="448">
        <f t="shared" si="0"/>
        <v>0.17861641737710554</v>
      </c>
      <c r="H14" s="502">
        <f t="shared" si="2"/>
        <v>0.18701807930426984</v>
      </c>
      <c r="I14" s="445">
        <f t="shared" si="3"/>
        <v>15896537</v>
      </c>
    </row>
    <row r="15" spans="1:9" x14ac:dyDescent="0.25">
      <c r="B15" s="498">
        <v>17000</v>
      </c>
      <c r="C15" s="499" t="s">
        <v>9</v>
      </c>
      <c r="D15" s="500"/>
      <c r="E15" s="501">
        <f t="shared" si="1"/>
        <v>6.854277077917946E-2</v>
      </c>
      <c r="F15" s="447"/>
      <c r="G15" s="448">
        <f t="shared" si="0"/>
        <v>7.8716622123232799E-2</v>
      </c>
      <c r="H15" s="502">
        <f t="shared" si="2"/>
        <v>7.4647081585611466E-2</v>
      </c>
      <c r="I15" s="445">
        <f t="shared" si="3"/>
        <v>6345002</v>
      </c>
    </row>
    <row r="16" spans="1:9" x14ac:dyDescent="0.25">
      <c r="B16" s="498">
        <v>18000</v>
      </c>
      <c r="C16" s="499" t="s">
        <v>10</v>
      </c>
      <c r="D16" s="500"/>
      <c r="E16" s="501">
        <f t="shared" si="1"/>
        <v>7.7362364816218124E-2</v>
      </c>
      <c r="F16" s="447"/>
      <c r="G16" s="448">
        <f t="shared" si="0"/>
        <v>7.4237983404179433E-2</v>
      </c>
      <c r="H16" s="502">
        <f t="shared" si="2"/>
        <v>7.5487735968994912E-2</v>
      </c>
      <c r="I16" s="445">
        <f>ROUND(H16*$D$5-0.1,0)</f>
        <v>6416457</v>
      </c>
    </row>
    <row r="17" spans="2:9" x14ac:dyDescent="0.25">
      <c r="B17" s="498">
        <v>19000</v>
      </c>
      <c r="C17" s="499" t="s">
        <v>11</v>
      </c>
      <c r="D17" s="500"/>
      <c r="E17" s="501">
        <f t="shared" si="1"/>
        <v>1.1558858716935891E-2</v>
      </c>
      <c r="F17" s="447"/>
      <c r="G17" s="448">
        <f t="shared" si="0"/>
        <v>7.9576757488012545E-3</v>
      </c>
      <c r="H17" s="502">
        <f t="shared" si="2"/>
        <v>9.3981489360551104E-3</v>
      </c>
      <c r="I17" s="445">
        <f t="shared" si="3"/>
        <v>798843</v>
      </c>
    </row>
    <row r="18" spans="2:9" x14ac:dyDescent="0.25">
      <c r="B18" s="498">
        <v>21000</v>
      </c>
      <c r="C18" s="499" t="s">
        <v>12</v>
      </c>
      <c r="D18" s="500"/>
      <c r="E18" s="501">
        <f t="shared" si="1"/>
        <v>3.916149695868917E-3</v>
      </c>
      <c r="F18" s="447"/>
      <c r="G18" s="448">
        <f t="shared" si="0"/>
        <v>8.6101963127008917E-3</v>
      </c>
      <c r="H18" s="502">
        <f t="shared" si="2"/>
        <v>6.7325776659681019E-3</v>
      </c>
      <c r="I18" s="445">
        <f t="shared" si="3"/>
        <v>572269</v>
      </c>
    </row>
    <row r="19" spans="2:9" x14ac:dyDescent="0.25">
      <c r="B19" s="498">
        <v>22000</v>
      </c>
      <c r="C19" s="499" t="s">
        <v>13</v>
      </c>
      <c r="D19" s="500"/>
      <c r="E19" s="501">
        <f t="shared" si="1"/>
        <v>8.3311904705510623E-5</v>
      </c>
      <c r="F19" s="447"/>
      <c r="G19" s="448">
        <f t="shared" si="0"/>
        <v>5.3670733379720102E-4</v>
      </c>
      <c r="H19" s="502">
        <f t="shared" si="2"/>
        <v>3.5534916216052484E-4</v>
      </c>
      <c r="I19" s="445">
        <f t="shared" si="3"/>
        <v>30205</v>
      </c>
    </row>
    <row r="20" spans="2:9" x14ac:dyDescent="0.25">
      <c r="B20" s="498">
        <v>23000</v>
      </c>
      <c r="C20" s="499" t="s">
        <v>14</v>
      </c>
      <c r="D20" s="500"/>
      <c r="E20" s="501">
        <f t="shared" si="1"/>
        <v>5.4745996377157408E-2</v>
      </c>
      <c r="F20" s="447"/>
      <c r="G20" s="448">
        <f t="shared" si="0"/>
        <v>4.5368459021328487E-2</v>
      </c>
      <c r="H20" s="502">
        <f t="shared" si="2"/>
        <v>4.9119473963660058E-2</v>
      </c>
      <c r="I20" s="445">
        <f t="shared" si="3"/>
        <v>4175155</v>
      </c>
    </row>
    <row r="21" spans="2:9" x14ac:dyDescent="0.25">
      <c r="B21" s="498">
        <v>24000</v>
      </c>
      <c r="C21" s="499" t="s">
        <v>15</v>
      </c>
      <c r="D21" s="500"/>
      <c r="E21" s="501">
        <f t="shared" si="1"/>
        <v>5.1882602579967074E-2</v>
      </c>
      <c r="F21" s="447"/>
      <c r="G21" s="448">
        <f t="shared" si="0"/>
        <v>3.5050570944988091E-2</v>
      </c>
      <c r="H21" s="502">
        <f t="shared" si="2"/>
        <v>4.1783383598979679E-2</v>
      </c>
      <c r="I21" s="445">
        <f t="shared" si="3"/>
        <v>3551588</v>
      </c>
    </row>
    <row r="22" spans="2:9" x14ac:dyDescent="0.25">
      <c r="B22" s="498">
        <v>25000</v>
      </c>
      <c r="C22" s="499" t="s">
        <v>16</v>
      </c>
      <c r="D22" s="500"/>
      <c r="E22" s="501">
        <f t="shared" si="1"/>
        <v>2.7901273747213281E-3</v>
      </c>
      <c r="F22" s="447"/>
      <c r="G22" s="448">
        <f t="shared" si="0"/>
        <v>7.6414915379433759E-3</v>
      </c>
      <c r="H22" s="502">
        <f t="shared" si="2"/>
        <v>5.7009458726545561E-3</v>
      </c>
      <c r="I22" s="445">
        <f t="shared" si="3"/>
        <v>484580</v>
      </c>
    </row>
    <row r="23" spans="2:9" x14ac:dyDescent="0.25">
      <c r="B23" s="498">
        <v>28000</v>
      </c>
      <c r="C23" s="499" t="s">
        <v>19</v>
      </c>
      <c r="D23" s="500"/>
      <c r="E23" s="501">
        <f t="shared" si="1"/>
        <v>3.2344479410248983E-2</v>
      </c>
      <c r="F23" s="447"/>
      <c r="G23" s="448">
        <f t="shared" si="0"/>
        <v>4.4042630294600746E-2</v>
      </c>
      <c r="H23" s="502">
        <f t="shared" si="2"/>
        <v>3.9363369940860038E-2</v>
      </c>
      <c r="I23" s="445">
        <f>ROUND(H23*$D$5,0)</f>
        <v>3345886</v>
      </c>
    </row>
    <row r="24" spans="2:9" x14ac:dyDescent="0.25">
      <c r="B24" s="498">
        <v>41000</v>
      </c>
      <c r="C24" s="499" t="s">
        <v>21</v>
      </c>
      <c r="D24" s="500"/>
      <c r="E24" s="501">
        <f t="shared" si="1"/>
        <v>9.6984645283815455E-3</v>
      </c>
      <c r="F24" s="447"/>
      <c r="G24" s="448">
        <f t="shared" si="0"/>
        <v>1.5219250564265712E-2</v>
      </c>
      <c r="H24" s="502">
        <f t="shared" si="2"/>
        <v>1.3010936149912045E-2</v>
      </c>
      <c r="I24" s="445">
        <f t="shared" si="3"/>
        <v>1105930</v>
      </c>
    </row>
    <row r="25" spans="2:9" ht="15.75" thickBot="1" x14ac:dyDescent="0.3">
      <c r="B25" s="503">
        <v>43000</v>
      </c>
      <c r="C25" s="504" t="s">
        <v>22</v>
      </c>
      <c r="D25" s="505"/>
      <c r="E25" s="506">
        <f t="shared" si="1"/>
        <v>6.6725457390611007E-3</v>
      </c>
      <c r="F25" s="507"/>
      <c r="G25" s="508">
        <f t="shared" si="0"/>
        <v>9.4375409127958852E-3</v>
      </c>
      <c r="H25" s="509">
        <f t="shared" si="2"/>
        <v>8.3315428433019707E-3</v>
      </c>
      <c r="I25" s="510">
        <f t="shared" si="3"/>
        <v>708181</v>
      </c>
    </row>
    <row r="26" spans="2:9" ht="15.75" thickBot="1" x14ac:dyDescent="0.3">
      <c r="B26" s="1038" t="s">
        <v>126</v>
      </c>
      <c r="C26" s="1039"/>
      <c r="D26" s="511">
        <f t="shared" ref="D26:I26" si="4">SUM(D10:D25)</f>
        <v>0</v>
      </c>
      <c r="E26" s="512">
        <f t="shared" si="4"/>
        <v>1</v>
      </c>
      <c r="F26" s="513">
        <f t="shared" si="4"/>
        <v>0</v>
      </c>
      <c r="G26" s="514">
        <f t="shared" si="4"/>
        <v>1</v>
      </c>
      <c r="H26" s="512">
        <f t="shared" si="4"/>
        <v>1</v>
      </c>
      <c r="I26" s="515">
        <f t="shared" si="4"/>
        <v>85000000</v>
      </c>
    </row>
    <row r="27" spans="2:9" x14ac:dyDescent="0.25">
      <c r="B27" s="397" t="s">
        <v>184</v>
      </c>
    </row>
    <row r="28" spans="2:9" x14ac:dyDescent="0.25">
      <c r="B28" s="397"/>
    </row>
    <row r="29" spans="2:9" ht="15.75" thickBot="1" x14ac:dyDescent="0.3">
      <c r="B29" t="s">
        <v>323</v>
      </c>
    </row>
    <row r="30" spans="2:9" x14ac:dyDescent="0.25">
      <c r="B30" s="1030" t="s">
        <v>2</v>
      </c>
      <c r="C30" s="1032" t="s">
        <v>3</v>
      </c>
      <c r="D30" s="1034" t="s">
        <v>327</v>
      </c>
      <c r="E30" s="1035"/>
      <c r="F30" s="1036" t="s">
        <v>328</v>
      </c>
      <c r="G30" s="1037"/>
    </row>
    <row r="31" spans="2:9" ht="15.75" thickBot="1" x14ac:dyDescent="0.3">
      <c r="B31" s="1031"/>
      <c r="C31" s="1033"/>
      <c r="D31" s="486" t="s">
        <v>176</v>
      </c>
      <c r="E31" s="487" t="s">
        <v>142</v>
      </c>
      <c r="F31" s="488" t="s">
        <v>176</v>
      </c>
      <c r="G31" s="489" t="s">
        <v>142</v>
      </c>
    </row>
    <row r="32" spans="2:9" x14ac:dyDescent="0.25">
      <c r="B32" s="490">
        <v>1100</v>
      </c>
      <c r="C32" s="491" t="s">
        <v>4</v>
      </c>
      <c r="D32" s="492">
        <v>6755.5</v>
      </c>
      <c r="E32" s="493">
        <f>D32/$D$48</f>
        <v>0.18458406765304589</v>
      </c>
      <c r="F32" s="494">
        <v>1186</v>
      </c>
      <c r="G32" s="495">
        <f>F32/$F$48</f>
        <v>0.16884965831435081</v>
      </c>
    </row>
    <row r="33" spans="2:7" x14ac:dyDescent="0.25">
      <c r="B33" s="498">
        <v>1200</v>
      </c>
      <c r="C33" s="499" t="s">
        <v>5</v>
      </c>
      <c r="D33" s="500">
        <v>2366.5</v>
      </c>
      <c r="E33" s="501">
        <f t="shared" ref="E33:E47" si="5">D33/$D$48</f>
        <v>6.4661119991256469E-2</v>
      </c>
      <c r="F33" s="447">
        <v>513</v>
      </c>
      <c r="G33" s="448">
        <f t="shared" ref="G33:G47" si="6">F33/$F$48</f>
        <v>7.3035307517084286E-2</v>
      </c>
    </row>
    <row r="34" spans="2:7" x14ac:dyDescent="0.25">
      <c r="B34" s="498">
        <v>1300</v>
      </c>
      <c r="C34" s="499" t="s">
        <v>6</v>
      </c>
      <c r="D34" s="500">
        <v>2450.5</v>
      </c>
      <c r="E34" s="501">
        <f t="shared" si="5"/>
        <v>6.6956296023061052E-2</v>
      </c>
      <c r="F34" s="447">
        <v>322</v>
      </c>
      <c r="G34" s="448">
        <f t="shared" si="6"/>
        <v>4.5842824601366745E-2</v>
      </c>
    </row>
    <row r="35" spans="2:7" x14ac:dyDescent="0.25">
      <c r="B35" s="498">
        <v>1400</v>
      </c>
      <c r="C35" s="499" t="s">
        <v>7</v>
      </c>
      <c r="D35" s="500">
        <v>6176.5</v>
      </c>
      <c r="E35" s="501">
        <f t="shared" si="5"/>
        <v>0.16876374714810716</v>
      </c>
      <c r="F35" s="447">
        <v>1344</v>
      </c>
      <c r="G35" s="448">
        <f t="shared" si="6"/>
        <v>0.19134396355353075</v>
      </c>
    </row>
    <row r="36" spans="2:7" x14ac:dyDescent="0.25">
      <c r="B36" s="498">
        <v>1500</v>
      </c>
      <c r="C36" s="499" t="s">
        <v>8</v>
      </c>
      <c r="D36" s="500">
        <v>7196.5</v>
      </c>
      <c r="E36" s="501">
        <f t="shared" si="5"/>
        <v>0.19663374182001994</v>
      </c>
      <c r="F36" s="447">
        <v>1335</v>
      </c>
      <c r="G36" s="448">
        <f t="shared" si="6"/>
        <v>0.19006264236902051</v>
      </c>
    </row>
    <row r="37" spans="2:7" x14ac:dyDescent="0.25">
      <c r="B37" s="498">
        <v>1700</v>
      </c>
      <c r="C37" s="499" t="s">
        <v>9</v>
      </c>
      <c r="D37" s="500">
        <v>2511.5</v>
      </c>
      <c r="E37" s="501">
        <f t="shared" si="5"/>
        <v>6.8623030998538198E-2</v>
      </c>
      <c r="F37" s="447">
        <v>561</v>
      </c>
      <c r="G37" s="448">
        <f t="shared" si="6"/>
        <v>7.9869020501138949E-2</v>
      </c>
    </row>
    <row r="38" spans="2:7" x14ac:dyDescent="0.25">
      <c r="B38" s="498">
        <v>1800</v>
      </c>
      <c r="C38" s="499" t="s">
        <v>10</v>
      </c>
      <c r="D38" s="500">
        <v>2847</v>
      </c>
      <c r="E38" s="501">
        <f t="shared" si="5"/>
        <v>7.7790073363662449E-2</v>
      </c>
      <c r="F38" s="447">
        <v>513</v>
      </c>
      <c r="G38" s="448">
        <f t="shared" si="6"/>
        <v>7.3035307517084286E-2</v>
      </c>
    </row>
    <row r="39" spans="2:7" x14ac:dyDescent="0.25">
      <c r="B39" s="498">
        <v>1900</v>
      </c>
      <c r="C39" s="499" t="s">
        <v>11</v>
      </c>
      <c r="D39" s="500">
        <v>419.5</v>
      </c>
      <c r="E39" s="501">
        <f t="shared" si="5"/>
        <v>1.1462218396928837E-2</v>
      </c>
      <c r="F39" s="447">
        <v>58</v>
      </c>
      <c r="G39" s="448">
        <f t="shared" si="6"/>
        <v>8.2574031890660596E-3</v>
      </c>
    </row>
    <row r="40" spans="2:7" x14ac:dyDescent="0.25">
      <c r="B40" s="498">
        <v>2100</v>
      </c>
      <c r="C40" s="499" t="s">
        <v>12</v>
      </c>
      <c r="D40" s="500">
        <v>127</v>
      </c>
      <c r="E40" s="501">
        <f t="shared" si="5"/>
        <v>3.4700875718950228E-3</v>
      </c>
      <c r="F40" s="447">
        <v>67</v>
      </c>
      <c r="G40" s="448">
        <f t="shared" si="6"/>
        <v>9.5387243735763089E-3</v>
      </c>
    </row>
    <row r="41" spans="2:7" x14ac:dyDescent="0.25">
      <c r="B41" s="498">
        <v>2200</v>
      </c>
      <c r="C41" s="499" t="s">
        <v>13</v>
      </c>
      <c r="D41" s="500">
        <v>0.5</v>
      </c>
      <c r="E41" s="501">
        <f t="shared" si="5"/>
        <v>1.3661762094074894E-5</v>
      </c>
      <c r="F41" s="447">
        <v>2</v>
      </c>
      <c r="G41" s="448">
        <f t="shared" si="6"/>
        <v>2.8473804100227789E-4</v>
      </c>
    </row>
    <row r="42" spans="2:7" x14ac:dyDescent="0.25">
      <c r="B42" s="498">
        <v>2300</v>
      </c>
      <c r="C42" s="499" t="s">
        <v>14</v>
      </c>
      <c r="D42" s="500">
        <v>2066</v>
      </c>
      <c r="E42" s="501">
        <f t="shared" si="5"/>
        <v>5.645040097271746E-2</v>
      </c>
      <c r="F42" s="447">
        <v>332</v>
      </c>
      <c r="G42" s="448">
        <f t="shared" si="6"/>
        <v>4.7266514806378133E-2</v>
      </c>
    </row>
    <row r="43" spans="2:7" x14ac:dyDescent="0.25">
      <c r="B43" s="498">
        <v>2400</v>
      </c>
      <c r="C43" s="499" t="s">
        <v>15</v>
      </c>
      <c r="D43" s="500">
        <v>1939.5</v>
      </c>
      <c r="E43" s="501">
        <f t="shared" si="5"/>
        <v>5.2993975162916512E-2</v>
      </c>
      <c r="F43" s="447">
        <v>266</v>
      </c>
      <c r="G43" s="448">
        <f t="shared" si="6"/>
        <v>3.7870159453302958E-2</v>
      </c>
    </row>
    <row r="44" spans="2:7" x14ac:dyDescent="0.25">
      <c r="B44" s="498">
        <v>2500</v>
      </c>
      <c r="C44" s="499" t="s">
        <v>16</v>
      </c>
      <c r="D44" s="500">
        <v>74.5</v>
      </c>
      <c r="E44" s="501">
        <f t="shared" si="5"/>
        <v>2.0356025520171591E-3</v>
      </c>
      <c r="F44" s="447">
        <v>61</v>
      </c>
      <c r="G44" s="448">
        <f t="shared" si="6"/>
        <v>8.6845102505694761E-3</v>
      </c>
    </row>
    <row r="45" spans="2:7" x14ac:dyDescent="0.25">
      <c r="B45" s="498">
        <v>2800</v>
      </c>
      <c r="C45" s="499" t="s">
        <v>19</v>
      </c>
      <c r="D45" s="500">
        <v>1101.5</v>
      </c>
      <c r="E45" s="501">
        <f t="shared" si="5"/>
        <v>3.0096861893246989E-2</v>
      </c>
      <c r="F45" s="447">
        <v>309</v>
      </c>
      <c r="G45" s="448">
        <f t="shared" si="6"/>
        <v>4.3992027334851934E-2</v>
      </c>
    </row>
    <row r="46" spans="2:7" x14ac:dyDescent="0.25">
      <c r="B46" s="498">
        <v>4100</v>
      </c>
      <c r="C46" s="499" t="s">
        <v>21</v>
      </c>
      <c r="D46" s="500">
        <v>336</v>
      </c>
      <c r="E46" s="501">
        <f t="shared" si="5"/>
        <v>9.1807041272183292E-3</v>
      </c>
      <c r="F46" s="447">
        <v>96</v>
      </c>
      <c r="G46" s="448">
        <f t="shared" si="6"/>
        <v>1.366742596810934E-2</v>
      </c>
    </row>
    <row r="47" spans="2:7" ht="15.75" thickBot="1" x14ac:dyDescent="0.3">
      <c r="B47" s="503">
        <v>4300</v>
      </c>
      <c r="C47" s="504" t="s">
        <v>22</v>
      </c>
      <c r="D47" s="505">
        <v>230</v>
      </c>
      <c r="E47" s="506">
        <f t="shared" si="5"/>
        <v>6.2844105632744512E-3</v>
      </c>
      <c r="F47" s="507">
        <v>59</v>
      </c>
      <c r="G47" s="508">
        <f t="shared" si="6"/>
        <v>8.3997722095671985E-3</v>
      </c>
    </row>
    <row r="48" spans="2:7" ht="15.75" thickBot="1" x14ac:dyDescent="0.3">
      <c r="B48" s="1038" t="s">
        <v>126</v>
      </c>
      <c r="C48" s="1039"/>
      <c r="D48" s="511">
        <f>SUM(D32:D47)</f>
        <v>36598.5</v>
      </c>
      <c r="E48" s="512">
        <f>SUM(E32:E47)</f>
        <v>0.99999999999999989</v>
      </c>
      <c r="F48" s="513">
        <f>SUM(F32:F47)</f>
        <v>7024</v>
      </c>
      <c r="G48" s="514">
        <f>SUM(G32:G47)</f>
        <v>1</v>
      </c>
    </row>
    <row r="49" spans="2:7" x14ac:dyDescent="0.25">
      <c r="B49" s="397"/>
    </row>
    <row r="50" spans="2:7" ht="15.75" thickBot="1" x14ac:dyDescent="0.3">
      <c r="B50" t="s">
        <v>279</v>
      </c>
    </row>
    <row r="51" spans="2:7" x14ac:dyDescent="0.25">
      <c r="B51" s="1030" t="s">
        <v>2</v>
      </c>
      <c r="C51" s="1032" t="s">
        <v>3</v>
      </c>
      <c r="D51" s="1034" t="s">
        <v>282</v>
      </c>
      <c r="E51" s="1035"/>
      <c r="F51" s="1036" t="s">
        <v>283</v>
      </c>
      <c r="G51" s="1037"/>
    </row>
    <row r="52" spans="2:7" ht="15.75" thickBot="1" x14ac:dyDescent="0.3">
      <c r="B52" s="1031"/>
      <c r="C52" s="1033"/>
      <c r="D52" s="486" t="s">
        <v>176</v>
      </c>
      <c r="E52" s="487" t="s">
        <v>142</v>
      </c>
      <c r="F52" s="488" t="s">
        <v>176</v>
      </c>
      <c r="G52" s="489" t="s">
        <v>142</v>
      </c>
    </row>
    <row r="53" spans="2:7" x14ac:dyDescent="0.25">
      <c r="B53" s="490">
        <v>1100</v>
      </c>
      <c r="C53" s="491" t="s">
        <v>4</v>
      </c>
      <c r="D53" s="492">
        <v>6532</v>
      </c>
      <c r="E53" s="493">
        <f>D53/$D$69</f>
        <v>0.1838213567096765</v>
      </c>
      <c r="F53" s="494">
        <v>1085</v>
      </c>
      <c r="G53" s="495">
        <f>F53/$F$69</f>
        <v>0.16323153302241614</v>
      </c>
    </row>
    <row r="54" spans="2:7" x14ac:dyDescent="0.25">
      <c r="B54" s="498">
        <v>1200</v>
      </c>
      <c r="C54" s="499" t="s">
        <v>5</v>
      </c>
      <c r="D54" s="500">
        <v>2240.5</v>
      </c>
      <c r="E54" s="501">
        <f t="shared" ref="E54:E68" si="7">D54/$D$69</f>
        <v>6.3051400751382464E-2</v>
      </c>
      <c r="F54" s="447">
        <v>519</v>
      </c>
      <c r="G54" s="448">
        <f t="shared" ref="G54:G68" si="8">F54/$F$69</f>
        <v>7.8080336994132693E-2</v>
      </c>
    </row>
    <row r="55" spans="2:7" x14ac:dyDescent="0.25">
      <c r="B55" s="498">
        <v>1300</v>
      </c>
      <c r="C55" s="499" t="s">
        <v>6</v>
      </c>
      <c r="D55" s="500">
        <v>2154</v>
      </c>
      <c r="E55" s="501">
        <f t="shared" si="7"/>
        <v>6.0617146716571223E-2</v>
      </c>
      <c r="F55" s="447">
        <v>324</v>
      </c>
      <c r="G55" s="448">
        <f t="shared" si="8"/>
        <v>4.8743794192868964E-2</v>
      </c>
    </row>
    <row r="56" spans="2:7" x14ac:dyDescent="0.25">
      <c r="B56" s="498">
        <v>1400</v>
      </c>
      <c r="C56" s="499" t="s">
        <v>7</v>
      </c>
      <c r="D56" s="500">
        <v>6034.5</v>
      </c>
      <c r="E56" s="501">
        <f t="shared" si="7"/>
        <v>0.1698208783013691</v>
      </c>
      <c r="F56" s="447">
        <v>1423</v>
      </c>
      <c r="G56" s="448">
        <f t="shared" si="8"/>
        <v>0.2140815405446066</v>
      </c>
    </row>
    <row r="57" spans="2:7" x14ac:dyDescent="0.25">
      <c r="B57" s="498">
        <v>1500</v>
      </c>
      <c r="C57" s="499" t="s">
        <v>8</v>
      </c>
      <c r="D57" s="500">
        <v>7236.5</v>
      </c>
      <c r="E57" s="501">
        <f t="shared" si="7"/>
        <v>0.20364715980244552</v>
      </c>
      <c r="F57" s="447">
        <v>1138</v>
      </c>
      <c r="G57" s="448">
        <f t="shared" si="8"/>
        <v>0.17120505491199037</v>
      </c>
    </row>
    <row r="58" spans="2:7" x14ac:dyDescent="0.25">
      <c r="B58" s="498">
        <v>1700</v>
      </c>
      <c r="C58" s="499" t="s">
        <v>9</v>
      </c>
      <c r="D58" s="500">
        <v>2419.5</v>
      </c>
      <c r="E58" s="501">
        <f t="shared" si="7"/>
        <v>6.8088758811858899E-2</v>
      </c>
      <c r="F58" s="447">
        <v>527</v>
      </c>
      <c r="G58" s="448">
        <f t="shared" si="8"/>
        <v>7.9283887468030695E-2</v>
      </c>
    </row>
    <row r="59" spans="2:7" x14ac:dyDescent="0.25">
      <c r="B59" s="498">
        <v>1800</v>
      </c>
      <c r="C59" s="499" t="s">
        <v>10</v>
      </c>
      <c r="D59" s="500">
        <v>2703</v>
      </c>
      <c r="E59" s="501">
        <f t="shared" si="7"/>
        <v>7.6066920879708455E-2</v>
      </c>
      <c r="F59" s="447">
        <v>494</v>
      </c>
      <c r="G59" s="448">
        <f t="shared" si="8"/>
        <v>7.4319241763201441E-2</v>
      </c>
    </row>
    <row r="60" spans="2:7" x14ac:dyDescent="0.25">
      <c r="B60" s="498">
        <v>1900</v>
      </c>
      <c r="C60" s="499" t="s">
        <v>11</v>
      </c>
      <c r="D60" s="500">
        <v>395</v>
      </c>
      <c r="E60" s="501">
        <f t="shared" si="7"/>
        <v>1.1115957731218956E-2</v>
      </c>
      <c r="F60" s="447">
        <v>51</v>
      </c>
      <c r="G60" s="448">
        <f t="shared" si="8"/>
        <v>7.6726342710997444E-3</v>
      </c>
    </row>
    <row r="61" spans="2:7" x14ac:dyDescent="0.25">
      <c r="B61" s="498">
        <v>2100</v>
      </c>
      <c r="C61" s="499" t="s">
        <v>12</v>
      </c>
      <c r="D61" s="500">
        <v>153.5</v>
      </c>
      <c r="E61" s="501">
        <f t="shared" si="7"/>
        <v>4.3197455993471134E-3</v>
      </c>
      <c r="F61" s="447">
        <v>56</v>
      </c>
      <c r="G61" s="448">
        <f t="shared" si="8"/>
        <v>8.4248533172859939E-3</v>
      </c>
    </row>
    <row r="62" spans="2:7" x14ac:dyDescent="0.25">
      <c r="B62" s="498">
        <v>2200</v>
      </c>
      <c r="C62" s="499" t="s">
        <v>13</v>
      </c>
      <c r="D62" s="500">
        <v>0.5</v>
      </c>
      <c r="E62" s="501">
        <f t="shared" si="7"/>
        <v>1.4070832571163236E-5</v>
      </c>
      <c r="F62" s="447">
        <v>4</v>
      </c>
      <c r="G62" s="448">
        <f t="shared" si="8"/>
        <v>6.0177523694899952E-4</v>
      </c>
    </row>
    <row r="63" spans="2:7" x14ac:dyDescent="0.25">
      <c r="B63" s="498">
        <v>2300</v>
      </c>
      <c r="C63" s="499" t="s">
        <v>14</v>
      </c>
      <c r="D63" s="500">
        <v>1947</v>
      </c>
      <c r="E63" s="501">
        <f t="shared" si="7"/>
        <v>5.4791822032109638E-2</v>
      </c>
      <c r="F63" s="447">
        <v>286</v>
      </c>
      <c r="G63" s="448">
        <f t="shared" si="8"/>
        <v>4.3026929441853469E-2</v>
      </c>
    </row>
    <row r="64" spans="2:7" x14ac:dyDescent="0.25">
      <c r="B64" s="498">
        <v>2400</v>
      </c>
      <c r="C64" s="499" t="s">
        <v>15</v>
      </c>
      <c r="D64" s="500">
        <v>1840</v>
      </c>
      <c r="E64" s="501">
        <f t="shared" si="7"/>
        <v>5.178066386188071E-2</v>
      </c>
      <c r="F64" s="447">
        <v>196</v>
      </c>
      <c r="G64" s="448">
        <f t="shared" si="8"/>
        <v>2.9486986610500979E-2</v>
      </c>
    </row>
    <row r="65" spans="2:7" x14ac:dyDescent="0.25">
      <c r="B65" s="498">
        <v>2500</v>
      </c>
      <c r="C65" s="499" t="s">
        <v>16</v>
      </c>
      <c r="D65" s="500">
        <v>111.5</v>
      </c>
      <c r="E65" s="501">
        <f t="shared" si="7"/>
        <v>3.1377956633694016E-3</v>
      </c>
      <c r="F65" s="447">
        <v>44</v>
      </c>
      <c r="G65" s="448">
        <f t="shared" si="8"/>
        <v>6.6195276064389954E-3</v>
      </c>
    </row>
    <row r="66" spans="2:7" x14ac:dyDescent="0.25">
      <c r="B66" s="498">
        <v>2800</v>
      </c>
      <c r="C66" s="499" t="s">
        <v>19</v>
      </c>
      <c r="D66" s="500">
        <v>1191</v>
      </c>
      <c r="E66" s="501">
        <f t="shared" si="7"/>
        <v>3.3516723184510828E-2</v>
      </c>
      <c r="F66" s="447">
        <v>322</v>
      </c>
      <c r="G66" s="448">
        <f t="shared" si="8"/>
        <v>4.8442906574394463E-2</v>
      </c>
    </row>
    <row r="67" spans="2:7" x14ac:dyDescent="0.25">
      <c r="B67" s="498">
        <v>4100</v>
      </c>
      <c r="C67" s="499" t="s">
        <v>21</v>
      </c>
      <c r="D67" s="500">
        <v>341.5</v>
      </c>
      <c r="E67" s="501">
        <f t="shared" si="7"/>
        <v>9.6103786461044904E-3</v>
      </c>
      <c r="F67" s="447">
        <v>110</v>
      </c>
      <c r="G67" s="448">
        <f t="shared" si="8"/>
        <v>1.6548819016097487E-2</v>
      </c>
    </row>
    <row r="68" spans="2:7" ht="15.75" thickBot="1" x14ac:dyDescent="0.3">
      <c r="B68" s="503">
        <v>4300</v>
      </c>
      <c r="C68" s="504" t="s">
        <v>22</v>
      </c>
      <c r="D68" s="505">
        <v>234.5</v>
      </c>
      <c r="E68" s="506">
        <f t="shared" si="7"/>
        <v>6.599220475875558E-3</v>
      </c>
      <c r="F68" s="507">
        <v>68</v>
      </c>
      <c r="G68" s="508">
        <f t="shared" si="8"/>
        <v>1.0230179028132993E-2</v>
      </c>
    </row>
    <row r="69" spans="2:7" ht="15.75" thickBot="1" x14ac:dyDescent="0.3">
      <c r="B69" s="1038" t="s">
        <v>126</v>
      </c>
      <c r="C69" s="1039"/>
      <c r="D69" s="511">
        <f>SUM(D53:D68)</f>
        <v>35534.5</v>
      </c>
      <c r="E69" s="512">
        <f>SUM(E53:E68)</f>
        <v>1</v>
      </c>
      <c r="F69" s="513">
        <f>SUM(F53:F68)</f>
        <v>6647</v>
      </c>
      <c r="G69" s="514">
        <f>SUM(G53:G68)</f>
        <v>1.0000000000000002</v>
      </c>
    </row>
    <row r="70" spans="2:7" x14ac:dyDescent="0.25">
      <c r="B70" s="397"/>
    </row>
    <row r="71" spans="2:7" ht="15.75" thickBot="1" x14ac:dyDescent="0.3">
      <c r="B71" t="s">
        <v>205</v>
      </c>
    </row>
    <row r="72" spans="2:7" x14ac:dyDescent="0.25">
      <c r="B72" s="1030" t="s">
        <v>2</v>
      </c>
      <c r="C72" s="1032" t="s">
        <v>3</v>
      </c>
      <c r="D72" s="1034" t="s">
        <v>206</v>
      </c>
      <c r="E72" s="1035"/>
      <c r="F72" s="1036" t="s">
        <v>207</v>
      </c>
      <c r="G72" s="1037"/>
    </row>
    <row r="73" spans="2:7" ht="15.75" thickBot="1" x14ac:dyDescent="0.3">
      <c r="B73" s="1031"/>
      <c r="C73" s="1033"/>
      <c r="D73" s="486" t="s">
        <v>176</v>
      </c>
      <c r="E73" s="487" t="s">
        <v>142</v>
      </c>
      <c r="F73" s="488" t="s">
        <v>176</v>
      </c>
      <c r="G73" s="489" t="s">
        <v>142</v>
      </c>
    </row>
    <row r="74" spans="2:7" x14ac:dyDescent="0.25">
      <c r="B74" s="490">
        <v>11000</v>
      </c>
      <c r="C74" s="491" t="s">
        <v>4</v>
      </c>
      <c r="D74" s="492">
        <v>6227.5</v>
      </c>
      <c r="E74" s="493">
        <f>D74/$D$90</f>
        <v>0.18749905911752751</v>
      </c>
      <c r="F74" s="494">
        <v>989</v>
      </c>
      <c r="G74" s="495">
        <f>F74/$F$90</f>
        <v>0.15103848503359804</v>
      </c>
    </row>
    <row r="75" spans="2:7" x14ac:dyDescent="0.25">
      <c r="B75" s="498">
        <v>12000</v>
      </c>
      <c r="C75" s="499" t="s">
        <v>5</v>
      </c>
      <c r="D75" s="500">
        <v>1823.5</v>
      </c>
      <c r="E75" s="501">
        <f t="shared" ref="E75:E89" si="9">D75/$D$90</f>
        <v>5.4902374034654582E-2</v>
      </c>
      <c r="F75" s="447">
        <v>514</v>
      </c>
      <c r="G75" s="448">
        <f t="shared" ref="G75:G89" si="10">F75/$F$90</f>
        <v>7.8497251069028717E-2</v>
      </c>
    </row>
    <row r="76" spans="2:7" x14ac:dyDescent="0.25">
      <c r="B76" s="498">
        <v>13000</v>
      </c>
      <c r="C76" s="499" t="s">
        <v>6</v>
      </c>
      <c r="D76" s="500">
        <v>1899.5</v>
      </c>
      <c r="E76" s="501">
        <f t="shared" si="9"/>
        <v>5.7190600207746849E-2</v>
      </c>
      <c r="F76" s="447">
        <v>432</v>
      </c>
      <c r="G76" s="448">
        <f t="shared" si="10"/>
        <v>6.597434331093463E-2</v>
      </c>
    </row>
    <row r="77" spans="2:7" x14ac:dyDescent="0.25">
      <c r="B77" s="498">
        <v>14000</v>
      </c>
      <c r="C77" s="499" t="s">
        <v>7</v>
      </c>
      <c r="D77" s="500">
        <v>5843.5</v>
      </c>
      <c r="E77" s="501">
        <f t="shared" si="9"/>
        <v>0.17593749529558764</v>
      </c>
      <c r="F77" s="447">
        <v>1463</v>
      </c>
      <c r="G77" s="448">
        <f t="shared" si="10"/>
        <v>0.22342700061087356</v>
      </c>
    </row>
    <row r="78" spans="2:7" x14ac:dyDescent="0.25">
      <c r="B78" s="498">
        <v>15000</v>
      </c>
      <c r="C78" s="499" t="s">
        <v>8</v>
      </c>
      <c r="D78" s="500">
        <v>6677.5</v>
      </c>
      <c r="E78" s="501">
        <f t="shared" si="9"/>
        <v>0.20104776672136329</v>
      </c>
      <c r="F78" s="447">
        <v>1055</v>
      </c>
      <c r="G78" s="448">
        <f t="shared" si="10"/>
        <v>0.16111789859499084</v>
      </c>
    </row>
    <row r="79" spans="2:7" x14ac:dyDescent="0.25">
      <c r="B79" s="498">
        <v>17000</v>
      </c>
      <c r="C79" s="499" t="s">
        <v>9</v>
      </c>
      <c r="D79" s="500">
        <v>2292.5</v>
      </c>
      <c r="E79" s="501">
        <f t="shared" si="9"/>
        <v>6.9023138181763435E-2</v>
      </c>
      <c r="F79" s="447">
        <v>491</v>
      </c>
      <c r="G79" s="448">
        <f t="shared" si="10"/>
        <v>7.4984728161270622E-2</v>
      </c>
    </row>
    <row r="80" spans="2:7" x14ac:dyDescent="0.25">
      <c r="B80" s="498">
        <v>18000</v>
      </c>
      <c r="C80" s="499" t="s">
        <v>10</v>
      </c>
      <c r="D80" s="500">
        <v>2598.5</v>
      </c>
      <c r="E80" s="501">
        <f t="shared" si="9"/>
        <v>7.8236259352371773E-2</v>
      </c>
      <c r="F80" s="447">
        <v>505</v>
      </c>
      <c r="G80" s="448">
        <f t="shared" si="10"/>
        <v>7.7122785583384243E-2</v>
      </c>
    </row>
    <row r="81" spans="1:7" x14ac:dyDescent="0.25">
      <c r="B81" s="498">
        <v>19000</v>
      </c>
      <c r="C81" s="499" t="s">
        <v>11</v>
      </c>
      <c r="D81" s="500">
        <v>414</v>
      </c>
      <c r="E81" s="501">
        <f t="shared" si="9"/>
        <v>1.2464810995528926E-2</v>
      </c>
      <c r="F81" s="447">
        <v>50</v>
      </c>
      <c r="G81" s="448">
        <f t="shared" si="10"/>
        <v>7.6359193646915085E-3</v>
      </c>
    </row>
    <row r="82" spans="1:7" x14ac:dyDescent="0.25">
      <c r="B82" s="498">
        <v>21000</v>
      </c>
      <c r="C82" s="499" t="s">
        <v>12</v>
      </c>
      <c r="D82" s="500">
        <v>147</v>
      </c>
      <c r="E82" s="501">
        <f t="shared" si="9"/>
        <v>4.4259111505863579E-3</v>
      </c>
      <c r="F82" s="447">
        <v>43</v>
      </c>
      <c r="G82" s="448">
        <f t="shared" si="10"/>
        <v>6.5668906536346973E-3</v>
      </c>
    </row>
    <row r="83" spans="1:7" x14ac:dyDescent="0.25">
      <c r="B83" s="498">
        <v>22000</v>
      </c>
      <c r="C83" s="499" t="s">
        <v>13</v>
      </c>
      <c r="D83" s="500">
        <v>12</v>
      </c>
      <c r="E83" s="501">
        <f t="shared" si="9"/>
        <v>3.6129886943562107E-4</v>
      </c>
      <c r="F83" s="447">
        <v>7</v>
      </c>
      <c r="G83" s="448">
        <f t="shared" si="10"/>
        <v>1.0690287110568112E-3</v>
      </c>
    </row>
    <row r="84" spans="1:7" x14ac:dyDescent="0.25">
      <c r="B84" s="498">
        <v>23000</v>
      </c>
      <c r="C84" s="499" t="s">
        <v>14</v>
      </c>
      <c r="D84" s="500">
        <v>1674.5</v>
      </c>
      <c r="E84" s="501">
        <f t="shared" si="9"/>
        <v>5.0416246405828952E-2</v>
      </c>
      <c r="F84" s="447">
        <v>289</v>
      </c>
      <c r="G84" s="448">
        <f t="shared" si="10"/>
        <v>4.4135613927916921E-2</v>
      </c>
    </row>
    <row r="85" spans="1:7" x14ac:dyDescent="0.25">
      <c r="B85" s="498">
        <v>24000</v>
      </c>
      <c r="C85" s="499" t="s">
        <v>15</v>
      </c>
      <c r="D85" s="500">
        <v>1636</v>
      </c>
      <c r="E85" s="501">
        <f t="shared" si="9"/>
        <v>4.9257079199723004E-2</v>
      </c>
      <c r="F85" s="447">
        <v>238</v>
      </c>
      <c r="G85" s="448">
        <f t="shared" si="10"/>
        <v>3.6346976175931585E-2</v>
      </c>
    </row>
    <row r="86" spans="1:7" x14ac:dyDescent="0.25">
      <c r="B86" s="498">
        <v>25000</v>
      </c>
      <c r="C86" s="499" t="s">
        <v>16</v>
      </c>
      <c r="D86" s="500">
        <v>138</v>
      </c>
      <c r="E86" s="501">
        <f t="shared" si="9"/>
        <v>4.1549369985096419E-3</v>
      </c>
      <c r="F86" s="447">
        <v>43</v>
      </c>
      <c r="G86" s="448">
        <f t="shared" si="10"/>
        <v>6.5668906536346973E-3</v>
      </c>
    </row>
    <row r="87" spans="1:7" x14ac:dyDescent="0.25">
      <c r="B87" s="498">
        <v>28000</v>
      </c>
      <c r="C87" s="499" t="s">
        <v>19</v>
      </c>
      <c r="D87" s="500">
        <v>1202.5</v>
      </c>
      <c r="E87" s="501">
        <f t="shared" si="9"/>
        <v>3.6205157541361194E-2</v>
      </c>
      <c r="F87" s="447">
        <v>246</v>
      </c>
      <c r="G87" s="448">
        <f t="shared" si="10"/>
        <v>3.756872327428222E-2</v>
      </c>
    </row>
    <row r="88" spans="1:7" x14ac:dyDescent="0.25">
      <c r="B88" s="498">
        <v>41000</v>
      </c>
      <c r="C88" s="499" t="s">
        <v>21</v>
      </c>
      <c r="D88" s="500">
        <v>369.5</v>
      </c>
      <c r="E88" s="501">
        <f t="shared" si="9"/>
        <v>1.1124994354705165E-2</v>
      </c>
      <c r="F88" s="447">
        <v>112</v>
      </c>
      <c r="G88" s="448">
        <f t="shared" si="10"/>
        <v>1.7104459376908979E-2</v>
      </c>
    </row>
    <row r="89" spans="1:7" ht="15.75" thickBot="1" x14ac:dyDescent="0.3">
      <c r="B89" s="503">
        <v>43000</v>
      </c>
      <c r="C89" s="504" t="s">
        <v>22</v>
      </c>
      <c r="D89" s="505">
        <v>257.5</v>
      </c>
      <c r="E89" s="506">
        <f t="shared" si="9"/>
        <v>7.7528715733060352E-3</v>
      </c>
      <c r="F89" s="507">
        <v>71</v>
      </c>
      <c r="G89" s="508">
        <f t="shared" si="10"/>
        <v>1.0843005497861942E-2</v>
      </c>
    </row>
    <row r="90" spans="1:7" ht="15.75" thickBot="1" x14ac:dyDescent="0.3">
      <c r="B90" s="1038" t="s">
        <v>126</v>
      </c>
      <c r="C90" s="1039"/>
      <c r="D90" s="511">
        <f>SUM(D74:D89)</f>
        <v>33213.5</v>
      </c>
      <c r="E90" s="512">
        <f>SUM(E74:E89)</f>
        <v>0.99999999999999989</v>
      </c>
      <c r="F90" s="513">
        <f>SUM(F74:F89)</f>
        <v>6548</v>
      </c>
      <c r="G90" s="514">
        <f>SUM(G74:G89)</f>
        <v>1</v>
      </c>
    </row>
    <row r="91" spans="1:7" x14ac:dyDescent="0.25">
      <c r="B91" s="38"/>
    </row>
    <row r="92" spans="1:7" x14ac:dyDescent="0.25">
      <c r="A92" s="618" t="s">
        <v>269</v>
      </c>
    </row>
  </sheetData>
  <mergeCells count="23">
    <mergeCell ref="H8:I8"/>
    <mergeCell ref="B26:C26"/>
    <mergeCell ref="D7:E7"/>
    <mergeCell ref="F7:G7"/>
    <mergeCell ref="B8:B9"/>
    <mergeCell ref="C8:C9"/>
    <mergeCell ref="D8:E8"/>
    <mergeCell ref="F8:G8"/>
    <mergeCell ref="B30:B31"/>
    <mergeCell ref="C30:C31"/>
    <mergeCell ref="D30:E30"/>
    <mergeCell ref="F30:G30"/>
    <mergeCell ref="B48:C48"/>
    <mergeCell ref="B51:B52"/>
    <mergeCell ref="C51:C52"/>
    <mergeCell ref="D51:E51"/>
    <mergeCell ref="F51:G51"/>
    <mergeCell ref="B69:C69"/>
    <mergeCell ref="B72:B73"/>
    <mergeCell ref="C72:C73"/>
    <mergeCell ref="D72:E72"/>
    <mergeCell ref="F72:G72"/>
    <mergeCell ref="B90:C90"/>
  </mergeCells>
  <hyperlinks>
    <hyperlink ref="A92" location="'0 Seznam'!A1" display="Seznam" xr:uid="{670722B2-B773-480B-BEA1-B21ED589C294}"/>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0FB7-0B68-4F26-8A76-F6E2A7EF1CD0}">
  <sheetPr>
    <tabColor rgb="FFFF0000"/>
  </sheetPr>
  <dimension ref="A1:J85"/>
  <sheetViews>
    <sheetView topLeftCell="A34" zoomScale="70" zoomScaleNormal="70" workbookViewId="0">
      <selection activeCell="B2" sqref="B2"/>
    </sheetView>
  </sheetViews>
  <sheetFormatPr defaultRowHeight="15" x14ac:dyDescent="0.25"/>
  <cols>
    <col min="2" max="2" width="59.28515625" customWidth="1"/>
    <col min="3" max="3" width="20" customWidth="1"/>
    <col min="4" max="4" width="46" customWidth="1"/>
    <col min="5" max="10" width="21.140625" customWidth="1"/>
    <col min="11" max="11" width="15.7109375" bestFit="1" customWidth="1"/>
    <col min="12" max="12" width="20.7109375" customWidth="1"/>
    <col min="14" max="14" width="12" bestFit="1" customWidth="1"/>
  </cols>
  <sheetData>
    <row r="1" spans="1:10" ht="27.75" x14ac:dyDescent="0.4">
      <c r="A1" s="568" t="s">
        <v>233</v>
      </c>
    </row>
    <row r="3" spans="1:10" x14ac:dyDescent="0.25">
      <c r="A3" s="1054" t="s">
        <v>329</v>
      </c>
      <c r="B3" s="1054"/>
      <c r="C3" s="1054"/>
      <c r="D3" s="569">
        <v>30000000</v>
      </c>
    </row>
    <row r="4" spans="1:10" ht="15.75" thickBot="1" x14ac:dyDescent="0.3">
      <c r="A4" s="614"/>
      <c r="B4" s="614"/>
      <c r="C4" s="614"/>
      <c r="D4" s="569"/>
    </row>
    <row r="5" spans="1:10" ht="15.75" thickBot="1" x14ac:dyDescent="0.3">
      <c r="E5" s="1040">
        <v>0.4</v>
      </c>
      <c r="F5" s="1041"/>
      <c r="G5" s="1040">
        <v>0.6</v>
      </c>
      <c r="H5" s="1042"/>
    </row>
    <row r="6" spans="1:10" x14ac:dyDescent="0.25">
      <c r="A6" s="1030" t="s">
        <v>2</v>
      </c>
      <c r="B6" s="1048" t="s">
        <v>3</v>
      </c>
      <c r="C6" s="1048" t="s">
        <v>177</v>
      </c>
      <c r="D6" s="1032" t="s">
        <v>141</v>
      </c>
      <c r="E6" s="1036" t="s">
        <v>223</v>
      </c>
      <c r="F6" s="1035"/>
      <c r="G6" s="1036" t="s">
        <v>224</v>
      </c>
      <c r="H6" s="1037"/>
      <c r="I6" s="1055" t="s">
        <v>28</v>
      </c>
      <c r="J6" s="1056"/>
    </row>
    <row r="7" spans="1:10" ht="15.75" thickBot="1" x14ac:dyDescent="0.3">
      <c r="A7" s="1047"/>
      <c r="B7" s="1049"/>
      <c r="C7" s="1049"/>
      <c r="D7" s="1050"/>
      <c r="E7" s="549" t="s">
        <v>176</v>
      </c>
      <c r="F7" s="612" t="s">
        <v>142</v>
      </c>
      <c r="G7" s="611" t="s">
        <v>176</v>
      </c>
      <c r="H7" s="613" t="s">
        <v>142</v>
      </c>
      <c r="I7" s="861" t="s">
        <v>142</v>
      </c>
      <c r="J7" s="861" t="s">
        <v>30</v>
      </c>
    </row>
    <row r="8" spans="1:10" x14ac:dyDescent="0.25">
      <c r="A8" s="610">
        <v>11000</v>
      </c>
      <c r="B8" s="550" t="s">
        <v>4</v>
      </c>
      <c r="C8" s="609">
        <v>11310</v>
      </c>
      <c r="D8" s="551" t="s">
        <v>225</v>
      </c>
      <c r="E8" s="552"/>
      <c r="F8" s="553">
        <f>0.5*F28+0.3*F47+0.2*F67</f>
        <v>8.5686521735991422E-2</v>
      </c>
      <c r="G8" s="554"/>
      <c r="H8" s="446">
        <f t="shared" ref="H8:H22" si="0">0.5*H28+0.3*H47+0.2*H67</f>
        <v>7.0665777269550853E-2</v>
      </c>
      <c r="I8" s="862">
        <f>$E$5*F8+$G$5*H8</f>
        <v>7.6674075056127083E-2</v>
      </c>
      <c r="J8" s="863">
        <f>I8*$D$3</f>
        <v>2300222.2516838126</v>
      </c>
    </row>
    <row r="9" spans="1:10" x14ac:dyDescent="0.25">
      <c r="A9" s="490">
        <v>11000</v>
      </c>
      <c r="B9" s="517" t="s">
        <v>4</v>
      </c>
      <c r="C9" s="580">
        <v>11510</v>
      </c>
      <c r="D9" s="491" t="s">
        <v>226</v>
      </c>
      <c r="E9" s="492"/>
      <c r="F9" s="493">
        <f t="shared" ref="F9:F22" si="1">0.5*F29+0.3*F48+0.2*F68</f>
        <v>5.8129370420013215E-3</v>
      </c>
      <c r="G9" s="494"/>
      <c r="H9" s="495">
        <f t="shared" si="0"/>
        <v>4.8189441585667998E-3</v>
      </c>
      <c r="I9" s="864">
        <f t="shared" ref="I9:I22" si="2">$E$5*F9+$G$5*H9</f>
        <v>5.2165413119406086E-3</v>
      </c>
      <c r="J9" s="865">
        <f t="shared" ref="J9:J22" si="3">I9*$D$3</f>
        <v>156496.23935821827</v>
      </c>
    </row>
    <row r="10" spans="1:10" x14ac:dyDescent="0.25">
      <c r="A10" s="490">
        <v>11000</v>
      </c>
      <c r="B10" s="517" t="s">
        <v>4</v>
      </c>
      <c r="C10" s="580">
        <v>11320</v>
      </c>
      <c r="D10" s="491" t="s">
        <v>227</v>
      </c>
      <c r="E10" s="492"/>
      <c r="F10" s="493">
        <f t="shared" si="1"/>
        <v>4.6961413936017937E-2</v>
      </c>
      <c r="G10" s="494"/>
      <c r="H10" s="495">
        <f t="shared" si="0"/>
        <v>6.0522520805539673E-2</v>
      </c>
      <c r="I10" s="864">
        <f t="shared" si="2"/>
        <v>5.5098078057730981E-2</v>
      </c>
      <c r="J10" s="865">
        <f t="shared" si="3"/>
        <v>1652942.3417319295</v>
      </c>
    </row>
    <row r="11" spans="1:10" x14ac:dyDescent="0.25">
      <c r="A11" s="498">
        <v>12000</v>
      </c>
      <c r="B11" s="518" t="s">
        <v>5</v>
      </c>
      <c r="C11" s="556">
        <v>12310</v>
      </c>
      <c r="D11" s="499" t="s">
        <v>225</v>
      </c>
      <c r="E11" s="500"/>
      <c r="F11" s="501">
        <f t="shared" si="1"/>
        <v>5.6148553175603015E-2</v>
      </c>
      <c r="G11" s="447"/>
      <c r="H11" s="448">
        <f t="shared" si="0"/>
        <v>6.0733434978717991E-2</v>
      </c>
      <c r="I11" s="866">
        <f t="shared" si="2"/>
        <v>5.8899482257472005E-2</v>
      </c>
      <c r="J11" s="867">
        <f t="shared" si="3"/>
        <v>1766984.4677241601</v>
      </c>
    </row>
    <row r="12" spans="1:10" x14ac:dyDescent="0.25">
      <c r="A12" s="498">
        <v>13000</v>
      </c>
      <c r="B12" s="518" t="s">
        <v>6</v>
      </c>
      <c r="C12" s="556">
        <v>13440</v>
      </c>
      <c r="D12" s="499" t="s">
        <v>225</v>
      </c>
      <c r="E12" s="500"/>
      <c r="F12" s="501">
        <f t="shared" si="1"/>
        <v>8.0467174180688994E-2</v>
      </c>
      <c r="G12" s="447"/>
      <c r="H12" s="448">
        <f t="shared" si="0"/>
        <v>3.455720729305635E-2</v>
      </c>
      <c r="I12" s="866">
        <f t="shared" si="2"/>
        <v>5.292119404810941E-2</v>
      </c>
      <c r="J12" s="867">
        <f t="shared" si="3"/>
        <v>1587635.8214432823</v>
      </c>
    </row>
    <row r="13" spans="1:10" x14ac:dyDescent="0.25">
      <c r="A13" s="498">
        <v>14000</v>
      </c>
      <c r="B13" s="518" t="s">
        <v>7</v>
      </c>
      <c r="C13" s="556">
        <v>14310</v>
      </c>
      <c r="D13" s="499" t="s">
        <v>225</v>
      </c>
      <c r="E13" s="500"/>
      <c r="F13" s="501">
        <f t="shared" si="1"/>
        <v>0.13190465491128495</v>
      </c>
      <c r="G13" s="447"/>
      <c r="H13" s="448">
        <f t="shared" si="0"/>
        <v>0.1525385934819897</v>
      </c>
      <c r="I13" s="866">
        <f t="shared" si="2"/>
        <v>0.1442850180537078</v>
      </c>
      <c r="J13" s="867">
        <f t="shared" si="3"/>
        <v>4328550.5416112337</v>
      </c>
    </row>
    <row r="14" spans="1:10" x14ac:dyDescent="0.25">
      <c r="A14" s="498">
        <v>14000</v>
      </c>
      <c r="B14" s="518" t="s">
        <v>7</v>
      </c>
      <c r="C14" s="556">
        <v>14510</v>
      </c>
      <c r="D14" s="499" t="s">
        <v>228</v>
      </c>
      <c r="E14" s="500"/>
      <c r="F14" s="501">
        <f t="shared" si="1"/>
        <v>8.1436201928092289E-4</v>
      </c>
      <c r="G14" s="447"/>
      <c r="H14" s="448">
        <f t="shared" si="0"/>
        <v>4.3053173241852484E-3</v>
      </c>
      <c r="I14" s="866">
        <f t="shared" si="2"/>
        <v>2.908935202223518E-3</v>
      </c>
      <c r="J14" s="867">
        <f t="shared" si="3"/>
        <v>87268.05606670554</v>
      </c>
    </row>
    <row r="15" spans="1:10" x14ac:dyDescent="0.25">
      <c r="A15" s="498">
        <v>15000</v>
      </c>
      <c r="B15" s="518" t="s">
        <v>8</v>
      </c>
      <c r="C15" s="556">
        <v>15310</v>
      </c>
      <c r="D15" s="499" t="s">
        <v>225</v>
      </c>
      <c r="E15" s="500"/>
      <c r="F15" s="501">
        <f t="shared" si="1"/>
        <v>0.20907819701017094</v>
      </c>
      <c r="G15" s="447"/>
      <c r="H15" s="448">
        <f t="shared" si="0"/>
        <v>0.1730414204942507</v>
      </c>
      <c r="I15" s="866">
        <f t="shared" si="2"/>
        <v>0.18745613110061882</v>
      </c>
      <c r="J15" s="867">
        <f t="shared" si="3"/>
        <v>5623683.9330185642</v>
      </c>
    </row>
    <row r="16" spans="1:10" x14ac:dyDescent="0.25">
      <c r="A16" s="498">
        <v>15000</v>
      </c>
      <c r="B16" s="518" t="s">
        <v>8</v>
      </c>
      <c r="C16" s="556">
        <v>15510</v>
      </c>
      <c r="D16" s="499" t="s">
        <v>229</v>
      </c>
      <c r="E16" s="500"/>
      <c r="F16" s="501">
        <f t="shared" si="1"/>
        <v>2.4470395155675676E-2</v>
      </c>
      <c r="G16" s="447"/>
      <c r="H16" s="448">
        <f t="shared" si="0"/>
        <v>2.823613493424814E-2</v>
      </c>
      <c r="I16" s="866">
        <f t="shared" si="2"/>
        <v>2.6729839022819155E-2</v>
      </c>
      <c r="J16" s="867">
        <f t="shared" si="3"/>
        <v>801895.17068457464</v>
      </c>
    </row>
    <row r="17" spans="1:10" x14ac:dyDescent="0.25">
      <c r="A17" s="498">
        <v>17000</v>
      </c>
      <c r="B17" s="518" t="s">
        <v>9</v>
      </c>
      <c r="C17" s="556">
        <v>17310</v>
      </c>
      <c r="D17" s="499" t="s">
        <v>225</v>
      </c>
      <c r="E17" s="500"/>
      <c r="F17" s="501">
        <f t="shared" si="1"/>
        <v>0.13621894594640518</v>
      </c>
      <c r="G17" s="447"/>
      <c r="H17" s="448">
        <f t="shared" si="0"/>
        <v>0.15599421891874721</v>
      </c>
      <c r="I17" s="866">
        <f t="shared" si="2"/>
        <v>0.1480841097298104</v>
      </c>
      <c r="J17" s="867">
        <f t="shared" si="3"/>
        <v>4442523.291894312</v>
      </c>
    </row>
    <row r="18" spans="1:10" x14ac:dyDescent="0.25">
      <c r="A18" s="498">
        <v>18000</v>
      </c>
      <c r="B18" s="518" t="s">
        <v>10</v>
      </c>
      <c r="C18" s="556">
        <v>18470</v>
      </c>
      <c r="D18" s="499" t="s">
        <v>225</v>
      </c>
      <c r="E18" s="500"/>
      <c r="F18" s="501">
        <f t="shared" si="1"/>
        <v>0.14992568508949677</v>
      </c>
      <c r="G18" s="447"/>
      <c r="H18" s="448">
        <f t="shared" si="0"/>
        <v>0.11323009973953371</v>
      </c>
      <c r="I18" s="866">
        <f t="shared" si="2"/>
        <v>0.12790833387951894</v>
      </c>
      <c r="J18" s="867">
        <f t="shared" si="3"/>
        <v>3837250.0163855683</v>
      </c>
    </row>
    <row r="19" spans="1:10" x14ac:dyDescent="0.25">
      <c r="A19" s="498">
        <v>21000</v>
      </c>
      <c r="B19" s="518" t="s">
        <v>12</v>
      </c>
      <c r="C19" s="556">
        <v>21900</v>
      </c>
      <c r="D19" s="499" t="s">
        <v>230</v>
      </c>
      <c r="E19" s="500"/>
      <c r="F19" s="501">
        <f t="shared" si="1"/>
        <v>5.7782314208315221E-2</v>
      </c>
      <c r="G19" s="447"/>
      <c r="H19" s="448">
        <f t="shared" si="0"/>
        <v>0.11328060479003875</v>
      </c>
      <c r="I19" s="866">
        <f t="shared" si="2"/>
        <v>9.1081288557349344E-2</v>
      </c>
      <c r="J19" s="867">
        <f t="shared" si="3"/>
        <v>2732438.6567204804</v>
      </c>
    </row>
    <row r="20" spans="1:10" x14ac:dyDescent="0.25">
      <c r="A20" s="498">
        <v>22000</v>
      </c>
      <c r="B20" s="518" t="s">
        <v>13</v>
      </c>
      <c r="C20" s="556">
        <v>22900</v>
      </c>
      <c r="D20" s="499" t="s">
        <v>230</v>
      </c>
      <c r="E20" s="500"/>
      <c r="F20" s="501">
        <f t="shared" si="1"/>
        <v>1.567059257796973E-3</v>
      </c>
      <c r="G20" s="447"/>
      <c r="H20" s="448">
        <f t="shared" si="0"/>
        <v>7.2978209770662595E-3</v>
      </c>
      <c r="I20" s="866">
        <f t="shared" si="2"/>
        <v>5.0055162893585447E-3</v>
      </c>
      <c r="J20" s="867">
        <f t="shared" si="3"/>
        <v>150165.48868075633</v>
      </c>
    </row>
    <row r="21" spans="1:10" x14ac:dyDescent="0.25">
      <c r="A21" s="498">
        <v>23000</v>
      </c>
      <c r="B21" s="518" t="s">
        <v>14</v>
      </c>
      <c r="C21" s="556">
        <v>23520</v>
      </c>
      <c r="D21" s="499" t="s">
        <v>231</v>
      </c>
      <c r="E21" s="500"/>
      <c r="F21" s="501">
        <f t="shared" si="1"/>
        <v>3.0891472734160398E-3</v>
      </c>
      <c r="G21" s="447"/>
      <c r="H21" s="448">
        <f t="shared" si="0"/>
        <v>4.0991677784130614E-3</v>
      </c>
      <c r="I21" s="866">
        <f t="shared" si="2"/>
        <v>3.6951595764142526E-3</v>
      </c>
      <c r="J21" s="867">
        <f t="shared" si="3"/>
        <v>110854.78729242757</v>
      </c>
    </row>
    <row r="22" spans="1:10" ht="15.75" thickBot="1" x14ac:dyDescent="0.3">
      <c r="A22" s="519">
        <v>28000</v>
      </c>
      <c r="B22" s="520" t="s">
        <v>19</v>
      </c>
      <c r="C22" s="557">
        <v>28140</v>
      </c>
      <c r="D22" s="558" t="s">
        <v>232</v>
      </c>
      <c r="E22" s="559"/>
      <c r="F22" s="560">
        <f t="shared" si="1"/>
        <v>1.0072639057854627E-2</v>
      </c>
      <c r="G22" s="561"/>
      <c r="H22" s="562">
        <f t="shared" si="0"/>
        <v>1.6678737056095547E-2</v>
      </c>
      <c r="I22" s="868">
        <f t="shared" si="2"/>
        <v>1.4036297856799178E-2</v>
      </c>
      <c r="J22" s="869">
        <f t="shared" si="3"/>
        <v>421088.93570397532</v>
      </c>
    </row>
    <row r="23" spans="1:10" ht="15.75" thickBot="1" x14ac:dyDescent="0.3">
      <c r="A23" s="1051" t="s">
        <v>126</v>
      </c>
      <c r="B23" s="1052"/>
      <c r="C23" s="1052"/>
      <c r="D23" s="1053"/>
      <c r="E23" s="564">
        <f t="shared" ref="E23:I23" si="4">SUM(E8:E22)</f>
        <v>0</v>
      </c>
      <c r="F23" s="565">
        <f t="shared" si="4"/>
        <v>1</v>
      </c>
      <c r="G23" s="566">
        <f t="shared" si="4"/>
        <v>0</v>
      </c>
      <c r="H23" s="567">
        <f t="shared" si="4"/>
        <v>1</v>
      </c>
      <c r="I23" s="870">
        <f t="shared" si="4"/>
        <v>0.99999999999999978</v>
      </c>
      <c r="J23" s="871">
        <f t="shared" ref="J23" si="5">SUM(J8:J22)</f>
        <v>30000000.000000004</v>
      </c>
    </row>
    <row r="25" spans="1:10" ht="15.75" thickBot="1" x14ac:dyDescent="0.3">
      <c r="A25" s="359">
        <v>2022</v>
      </c>
    </row>
    <row r="26" spans="1:10" x14ac:dyDescent="0.25">
      <c r="A26" s="1030" t="s">
        <v>2</v>
      </c>
      <c r="B26" s="1048" t="s">
        <v>3</v>
      </c>
      <c r="C26" s="1048" t="s">
        <v>177</v>
      </c>
      <c r="D26" s="1032" t="s">
        <v>141</v>
      </c>
      <c r="E26" s="1036" t="s">
        <v>223</v>
      </c>
      <c r="F26" s="1035"/>
      <c r="G26" s="1036" t="s">
        <v>224</v>
      </c>
      <c r="H26" s="1037"/>
    </row>
    <row r="27" spans="1:10" ht="15.75" thickBot="1" x14ac:dyDescent="0.3">
      <c r="A27" s="1047"/>
      <c r="B27" s="1049"/>
      <c r="C27" s="1049"/>
      <c r="D27" s="1050"/>
      <c r="E27" s="611" t="s">
        <v>176</v>
      </c>
      <c r="F27" s="612" t="s">
        <v>142</v>
      </c>
      <c r="G27" s="611" t="s">
        <v>176</v>
      </c>
      <c r="H27" s="613" t="s">
        <v>142</v>
      </c>
    </row>
    <row r="28" spans="1:10" x14ac:dyDescent="0.25">
      <c r="A28" s="610">
        <v>11000</v>
      </c>
      <c r="B28" s="550" t="s">
        <v>4</v>
      </c>
      <c r="C28" s="609">
        <v>11310</v>
      </c>
      <c r="D28" s="551" t="s">
        <v>225</v>
      </c>
      <c r="E28" s="554">
        <v>255</v>
      </c>
      <c r="F28" s="553">
        <f>E28/$E$43</f>
        <v>8.5255767301905719E-2</v>
      </c>
      <c r="G28" s="554">
        <v>37</v>
      </c>
      <c r="H28" s="446">
        <f>G28/$G$43</f>
        <v>6.851851851851852E-2</v>
      </c>
    </row>
    <row r="29" spans="1:10" x14ac:dyDescent="0.25">
      <c r="A29" s="490">
        <v>11000</v>
      </c>
      <c r="B29" s="517" t="s">
        <v>4</v>
      </c>
      <c r="C29" s="580">
        <v>11510</v>
      </c>
      <c r="D29" s="491" t="s">
        <v>226</v>
      </c>
      <c r="E29" s="494">
        <v>16</v>
      </c>
      <c r="F29" s="493">
        <f t="shared" ref="F29:F42" si="6">E29/$E$43</f>
        <v>5.349381477766633E-3</v>
      </c>
      <c r="G29" s="494">
        <v>3</v>
      </c>
      <c r="H29" s="495">
        <f t="shared" ref="H29:H42" si="7">G29/$G$43</f>
        <v>5.5555555555555558E-3</v>
      </c>
    </row>
    <row r="30" spans="1:10" x14ac:dyDescent="0.25">
      <c r="A30" s="490">
        <v>11000</v>
      </c>
      <c r="B30" s="517" t="s">
        <v>4</v>
      </c>
      <c r="C30" s="580">
        <v>11320</v>
      </c>
      <c r="D30" s="491" t="s">
        <v>227</v>
      </c>
      <c r="E30" s="494">
        <v>126</v>
      </c>
      <c r="F30" s="493">
        <f t="shared" si="6"/>
        <v>4.212637913741224E-2</v>
      </c>
      <c r="G30" s="494">
        <v>29</v>
      </c>
      <c r="H30" s="495">
        <f t="shared" si="7"/>
        <v>5.3703703703703705E-2</v>
      </c>
    </row>
    <row r="31" spans="1:10" x14ac:dyDescent="0.25">
      <c r="A31" s="498">
        <v>12000</v>
      </c>
      <c r="B31" s="518" t="s">
        <v>5</v>
      </c>
      <c r="C31" s="556">
        <v>12310</v>
      </c>
      <c r="D31" s="499" t="s">
        <v>225</v>
      </c>
      <c r="E31" s="447">
        <v>147</v>
      </c>
      <c r="F31" s="501">
        <f t="shared" si="6"/>
        <v>4.9147442326980942E-2</v>
      </c>
      <c r="G31" s="447">
        <v>40</v>
      </c>
      <c r="H31" s="448">
        <f t="shared" si="7"/>
        <v>7.407407407407407E-2</v>
      </c>
    </row>
    <row r="32" spans="1:10" x14ac:dyDescent="0.25">
      <c r="A32" s="498">
        <v>13000</v>
      </c>
      <c r="B32" s="518" t="s">
        <v>6</v>
      </c>
      <c r="C32" s="556">
        <v>13440</v>
      </c>
      <c r="D32" s="499" t="s">
        <v>225</v>
      </c>
      <c r="E32" s="447">
        <v>251</v>
      </c>
      <c r="F32" s="501">
        <f t="shared" si="6"/>
        <v>8.3918421932464057E-2</v>
      </c>
      <c r="G32" s="447">
        <v>17</v>
      </c>
      <c r="H32" s="448">
        <f t="shared" si="7"/>
        <v>3.1481481481481478E-2</v>
      </c>
    </row>
    <row r="33" spans="1:8" x14ac:dyDescent="0.25">
      <c r="A33" s="498">
        <v>14000</v>
      </c>
      <c r="B33" s="518" t="s">
        <v>7</v>
      </c>
      <c r="C33" s="556">
        <v>14310</v>
      </c>
      <c r="D33" s="499" t="s">
        <v>225</v>
      </c>
      <c r="E33" s="447">
        <v>374</v>
      </c>
      <c r="F33" s="501">
        <f t="shared" si="6"/>
        <v>0.12504179204279506</v>
      </c>
      <c r="G33" s="447">
        <v>81</v>
      </c>
      <c r="H33" s="448">
        <f t="shared" si="7"/>
        <v>0.15</v>
      </c>
    </row>
    <row r="34" spans="1:8" x14ac:dyDescent="0.25">
      <c r="A34" s="498">
        <v>14000</v>
      </c>
      <c r="B34" s="518" t="s">
        <v>7</v>
      </c>
      <c r="C34" s="556">
        <v>14510</v>
      </c>
      <c r="D34" s="499" t="s">
        <v>228</v>
      </c>
      <c r="E34" s="447">
        <v>0</v>
      </c>
      <c r="F34" s="501">
        <f t="shared" si="6"/>
        <v>0</v>
      </c>
      <c r="G34" s="447">
        <v>0</v>
      </c>
      <c r="H34" s="448">
        <f t="shared" si="7"/>
        <v>0</v>
      </c>
    </row>
    <row r="35" spans="1:8" x14ac:dyDescent="0.25">
      <c r="A35" s="498">
        <v>15000</v>
      </c>
      <c r="B35" s="518" t="s">
        <v>8</v>
      </c>
      <c r="C35" s="556">
        <v>15310</v>
      </c>
      <c r="D35" s="499" t="s">
        <v>225</v>
      </c>
      <c r="E35" s="447">
        <v>630</v>
      </c>
      <c r="F35" s="501">
        <f t="shared" si="6"/>
        <v>0.21063189568706117</v>
      </c>
      <c r="G35" s="447">
        <v>91</v>
      </c>
      <c r="H35" s="448">
        <f t="shared" si="7"/>
        <v>0.16851851851851851</v>
      </c>
    </row>
    <row r="36" spans="1:8" x14ac:dyDescent="0.25">
      <c r="A36" s="498">
        <v>15000</v>
      </c>
      <c r="B36" s="518" t="s">
        <v>8</v>
      </c>
      <c r="C36" s="556">
        <v>15510</v>
      </c>
      <c r="D36" s="499" t="s">
        <v>229</v>
      </c>
      <c r="E36" s="447">
        <v>68</v>
      </c>
      <c r="F36" s="501">
        <f t="shared" si="6"/>
        <v>2.273487128050819E-2</v>
      </c>
      <c r="G36" s="447">
        <v>18</v>
      </c>
      <c r="H36" s="448">
        <f t="shared" si="7"/>
        <v>3.3333333333333333E-2</v>
      </c>
    </row>
    <row r="37" spans="1:8" x14ac:dyDescent="0.25">
      <c r="A37" s="498">
        <v>17000</v>
      </c>
      <c r="B37" s="518" t="s">
        <v>9</v>
      </c>
      <c r="C37" s="556">
        <v>17310</v>
      </c>
      <c r="D37" s="499" t="s">
        <v>225</v>
      </c>
      <c r="E37" s="447">
        <v>434</v>
      </c>
      <c r="F37" s="501">
        <f t="shared" si="6"/>
        <v>0.14510197258441992</v>
      </c>
      <c r="G37" s="447">
        <v>83</v>
      </c>
      <c r="H37" s="448">
        <f t="shared" si="7"/>
        <v>0.1537037037037037</v>
      </c>
    </row>
    <row r="38" spans="1:8" x14ac:dyDescent="0.25">
      <c r="A38" s="498">
        <v>18000</v>
      </c>
      <c r="B38" s="518" t="s">
        <v>10</v>
      </c>
      <c r="C38" s="556">
        <v>18470</v>
      </c>
      <c r="D38" s="499" t="s">
        <v>225</v>
      </c>
      <c r="E38" s="447">
        <v>508</v>
      </c>
      <c r="F38" s="501">
        <f t="shared" si="6"/>
        <v>0.16984286191909059</v>
      </c>
      <c r="G38" s="447">
        <v>64</v>
      </c>
      <c r="H38" s="448">
        <f t="shared" si="7"/>
        <v>0.11851851851851852</v>
      </c>
    </row>
    <row r="39" spans="1:8" x14ac:dyDescent="0.25">
      <c r="A39" s="498">
        <v>21000</v>
      </c>
      <c r="B39" s="518" t="s">
        <v>12</v>
      </c>
      <c r="C39" s="556">
        <v>21900</v>
      </c>
      <c r="D39" s="499" t="s">
        <v>230</v>
      </c>
      <c r="E39" s="447">
        <v>145</v>
      </c>
      <c r="F39" s="501">
        <f t="shared" si="6"/>
        <v>4.8478769642260111E-2</v>
      </c>
      <c r="G39" s="447">
        <v>67</v>
      </c>
      <c r="H39" s="448">
        <f t="shared" si="7"/>
        <v>0.12407407407407407</v>
      </c>
    </row>
    <row r="40" spans="1:8" x14ac:dyDescent="0.25">
      <c r="A40" s="498">
        <v>22000</v>
      </c>
      <c r="B40" s="518" t="s">
        <v>13</v>
      </c>
      <c r="C40" s="556">
        <v>22900</v>
      </c>
      <c r="D40" s="499" t="s">
        <v>230</v>
      </c>
      <c r="E40" s="447">
        <v>1</v>
      </c>
      <c r="F40" s="501">
        <f t="shared" si="6"/>
        <v>3.3433634236041456E-4</v>
      </c>
      <c r="G40" s="447">
        <v>2</v>
      </c>
      <c r="H40" s="448">
        <f t="shared" si="7"/>
        <v>3.7037037037037038E-3</v>
      </c>
    </row>
    <row r="41" spans="1:8" x14ac:dyDescent="0.25">
      <c r="A41" s="498">
        <v>23000</v>
      </c>
      <c r="B41" s="518" t="s">
        <v>14</v>
      </c>
      <c r="C41" s="556">
        <v>23520</v>
      </c>
      <c r="D41" s="499" t="s">
        <v>231</v>
      </c>
      <c r="E41" s="447">
        <v>8</v>
      </c>
      <c r="F41" s="501">
        <f t="shared" si="6"/>
        <v>2.6746907388833165E-3</v>
      </c>
      <c r="G41" s="447">
        <v>1</v>
      </c>
      <c r="H41" s="448">
        <f t="shared" si="7"/>
        <v>1.8518518518518519E-3</v>
      </c>
    </row>
    <row r="42" spans="1:8" ht="15.75" thickBot="1" x14ac:dyDescent="0.3">
      <c r="A42" s="519">
        <v>28000</v>
      </c>
      <c r="B42" s="520" t="s">
        <v>19</v>
      </c>
      <c r="C42" s="557">
        <v>28140</v>
      </c>
      <c r="D42" s="558" t="s">
        <v>232</v>
      </c>
      <c r="E42" s="561">
        <v>28</v>
      </c>
      <c r="F42" s="560">
        <f t="shared" si="6"/>
        <v>9.3614175860916079E-3</v>
      </c>
      <c r="G42" s="561">
        <v>7</v>
      </c>
      <c r="H42" s="562">
        <f t="shared" si="7"/>
        <v>1.2962962962962963E-2</v>
      </c>
    </row>
    <row r="43" spans="1:8" ht="15.75" thickBot="1" x14ac:dyDescent="0.3">
      <c r="A43" s="1051" t="s">
        <v>126</v>
      </c>
      <c r="B43" s="1052"/>
      <c r="C43" s="1052"/>
      <c r="D43" s="1053"/>
      <c r="E43" s="566">
        <f>SUM(E28:E42)</f>
        <v>2991</v>
      </c>
      <c r="F43" s="565">
        <f>SUM(F28:F42)</f>
        <v>1</v>
      </c>
      <c r="G43" s="566">
        <f>SUM(G28:G42)</f>
        <v>540</v>
      </c>
      <c r="H43" s="567">
        <f>SUM(H28:H42)</f>
        <v>1</v>
      </c>
    </row>
    <row r="44" spans="1:8" ht="15.75" thickBot="1" x14ac:dyDescent="0.3">
      <c r="A44" s="359"/>
      <c r="B44" s="359"/>
      <c r="C44" s="359"/>
      <c r="D44" s="359"/>
      <c r="E44" s="621"/>
      <c r="F44" s="872"/>
      <c r="G44" s="621"/>
      <c r="H44" s="873" t="s">
        <v>330</v>
      </c>
    </row>
    <row r="45" spans="1:8" x14ac:dyDescent="0.25">
      <c r="A45" s="1030" t="s">
        <v>2</v>
      </c>
      <c r="B45" s="1048" t="s">
        <v>3</v>
      </c>
      <c r="C45" s="1048" t="s">
        <v>177</v>
      </c>
      <c r="D45" s="1032" t="s">
        <v>141</v>
      </c>
      <c r="E45" s="1036" t="s">
        <v>223</v>
      </c>
      <c r="F45" s="1035"/>
      <c r="G45" s="1036" t="s">
        <v>224</v>
      </c>
      <c r="H45" s="1037"/>
    </row>
    <row r="46" spans="1:8" ht="27" customHeight="1" thickBot="1" x14ac:dyDescent="0.3">
      <c r="A46" s="1047"/>
      <c r="B46" s="1049"/>
      <c r="C46" s="1049"/>
      <c r="D46" s="1050"/>
      <c r="E46" s="611" t="s">
        <v>176</v>
      </c>
      <c r="F46" s="612" t="s">
        <v>142</v>
      </c>
      <c r="G46" s="611" t="s">
        <v>176</v>
      </c>
      <c r="H46" s="613" t="s">
        <v>142</v>
      </c>
    </row>
    <row r="47" spans="1:8" x14ac:dyDescent="0.25">
      <c r="A47" s="610">
        <v>11000</v>
      </c>
      <c r="B47" s="550" t="s">
        <v>4</v>
      </c>
      <c r="C47" s="609">
        <v>11310</v>
      </c>
      <c r="D47" s="551" t="s">
        <v>225</v>
      </c>
      <c r="E47" s="554">
        <v>225</v>
      </c>
      <c r="F47" s="553">
        <f t="shared" ref="F47:F61" si="8">E47/$E$62</f>
        <v>8.5812356979405036E-2</v>
      </c>
      <c r="G47" s="554">
        <v>33</v>
      </c>
      <c r="H47" s="446">
        <f t="shared" ref="H47:H61" si="9">G47/$G$62</f>
        <v>6.2264150943396226E-2</v>
      </c>
    </row>
    <row r="48" spans="1:8" x14ac:dyDescent="0.25">
      <c r="A48" s="490">
        <v>11000</v>
      </c>
      <c r="B48" s="517" t="s">
        <v>4</v>
      </c>
      <c r="C48" s="580">
        <v>11510</v>
      </c>
      <c r="D48" s="491" t="s">
        <v>226</v>
      </c>
      <c r="E48" s="494">
        <v>15</v>
      </c>
      <c r="F48" s="493">
        <f t="shared" si="8"/>
        <v>5.7208237986270021E-3</v>
      </c>
      <c r="G48" s="494">
        <v>2</v>
      </c>
      <c r="H48" s="495">
        <f t="shared" si="9"/>
        <v>3.7735849056603774E-3</v>
      </c>
    </row>
    <row r="49" spans="1:8" x14ac:dyDescent="0.25">
      <c r="A49" s="490">
        <v>11000</v>
      </c>
      <c r="B49" s="517" t="s">
        <v>4</v>
      </c>
      <c r="C49" s="580">
        <v>11320</v>
      </c>
      <c r="D49" s="491" t="s">
        <v>227</v>
      </c>
      <c r="E49" s="494">
        <v>124</v>
      </c>
      <c r="F49" s="493">
        <f t="shared" si="8"/>
        <v>4.7292143401983219E-2</v>
      </c>
      <c r="G49" s="494">
        <v>37</v>
      </c>
      <c r="H49" s="495">
        <f t="shared" si="9"/>
        <v>6.981132075471698E-2</v>
      </c>
    </row>
    <row r="50" spans="1:8" x14ac:dyDescent="0.25">
      <c r="A50" s="498">
        <v>12000</v>
      </c>
      <c r="B50" s="518" t="s">
        <v>5</v>
      </c>
      <c r="C50" s="556">
        <v>12310</v>
      </c>
      <c r="D50" s="499" t="s">
        <v>225</v>
      </c>
      <c r="E50" s="447">
        <v>178</v>
      </c>
      <c r="F50" s="501">
        <f t="shared" si="8"/>
        <v>6.7887109077040431E-2</v>
      </c>
      <c r="G50" s="447">
        <v>25</v>
      </c>
      <c r="H50" s="448">
        <f t="shared" si="9"/>
        <v>4.716981132075472E-2</v>
      </c>
    </row>
    <row r="51" spans="1:8" x14ac:dyDescent="0.25">
      <c r="A51" s="498">
        <v>13000</v>
      </c>
      <c r="B51" s="518" t="s">
        <v>6</v>
      </c>
      <c r="C51" s="556">
        <v>13440</v>
      </c>
      <c r="D51" s="499" t="s">
        <v>225</v>
      </c>
      <c r="E51" s="447">
        <v>194</v>
      </c>
      <c r="F51" s="501">
        <f t="shared" si="8"/>
        <v>7.3989321128909227E-2</v>
      </c>
      <c r="G51" s="447">
        <v>22</v>
      </c>
      <c r="H51" s="448">
        <f t="shared" si="9"/>
        <v>4.1509433962264149E-2</v>
      </c>
    </row>
    <row r="52" spans="1:8" x14ac:dyDescent="0.25">
      <c r="A52" s="498">
        <v>14000</v>
      </c>
      <c r="B52" s="518" t="s">
        <v>7</v>
      </c>
      <c r="C52" s="556">
        <v>14310</v>
      </c>
      <c r="D52" s="499" t="s">
        <v>225</v>
      </c>
      <c r="E52" s="447">
        <v>352</v>
      </c>
      <c r="F52" s="501">
        <f t="shared" si="8"/>
        <v>0.13424866514111367</v>
      </c>
      <c r="G52" s="447">
        <v>88</v>
      </c>
      <c r="H52" s="448">
        <f t="shared" si="9"/>
        <v>0.16603773584905659</v>
      </c>
    </row>
    <row r="53" spans="1:8" x14ac:dyDescent="0.25">
      <c r="A53" s="498">
        <v>14000</v>
      </c>
      <c r="B53" s="518" t="s">
        <v>7</v>
      </c>
      <c r="C53" s="556">
        <v>14510</v>
      </c>
      <c r="D53" s="499" t="s">
        <v>228</v>
      </c>
      <c r="E53" s="447">
        <v>2</v>
      </c>
      <c r="F53" s="501">
        <f t="shared" si="8"/>
        <v>7.6277650648360034E-4</v>
      </c>
      <c r="G53" s="447">
        <v>6</v>
      </c>
      <c r="H53" s="448">
        <f t="shared" si="9"/>
        <v>1.1320754716981131E-2</v>
      </c>
    </row>
    <row r="54" spans="1:8" x14ac:dyDescent="0.25">
      <c r="A54" s="498">
        <v>15000</v>
      </c>
      <c r="B54" s="518" t="s">
        <v>8</v>
      </c>
      <c r="C54" s="556">
        <v>15310</v>
      </c>
      <c r="D54" s="499" t="s">
        <v>225</v>
      </c>
      <c r="E54" s="447">
        <v>545</v>
      </c>
      <c r="F54" s="501">
        <f t="shared" si="8"/>
        <v>0.20785659801678108</v>
      </c>
      <c r="G54" s="447">
        <v>91</v>
      </c>
      <c r="H54" s="448">
        <f t="shared" si="9"/>
        <v>0.17169811320754716</v>
      </c>
    </row>
    <row r="55" spans="1:8" x14ac:dyDescent="0.25">
      <c r="A55" s="498">
        <v>15000</v>
      </c>
      <c r="B55" s="518" t="s">
        <v>8</v>
      </c>
      <c r="C55" s="556">
        <v>15510</v>
      </c>
      <c r="D55" s="499" t="s">
        <v>229</v>
      </c>
      <c r="E55" s="447">
        <v>67</v>
      </c>
      <c r="F55" s="501">
        <f t="shared" si="8"/>
        <v>2.5553012967200611E-2</v>
      </c>
      <c r="G55" s="447">
        <v>10</v>
      </c>
      <c r="H55" s="448">
        <f t="shared" si="9"/>
        <v>1.8867924528301886E-2</v>
      </c>
    </row>
    <row r="56" spans="1:8" x14ac:dyDescent="0.25">
      <c r="A56" s="498">
        <v>17000</v>
      </c>
      <c r="B56" s="518" t="s">
        <v>9</v>
      </c>
      <c r="C56" s="556">
        <v>17310</v>
      </c>
      <c r="D56" s="499" t="s">
        <v>225</v>
      </c>
      <c r="E56" s="447">
        <v>381</v>
      </c>
      <c r="F56" s="501">
        <f t="shared" si="8"/>
        <v>0.14530892448512586</v>
      </c>
      <c r="G56" s="447">
        <v>82</v>
      </c>
      <c r="H56" s="448">
        <f t="shared" si="9"/>
        <v>0.15471698113207547</v>
      </c>
    </row>
    <row r="57" spans="1:8" x14ac:dyDescent="0.25">
      <c r="A57" s="498">
        <v>18000</v>
      </c>
      <c r="B57" s="518" t="s">
        <v>10</v>
      </c>
      <c r="C57" s="556">
        <v>18470</v>
      </c>
      <c r="D57" s="499" t="s">
        <v>225</v>
      </c>
      <c r="E57" s="447">
        <v>332</v>
      </c>
      <c r="F57" s="501">
        <f t="shared" si="8"/>
        <v>0.12662090007627766</v>
      </c>
      <c r="G57" s="447">
        <v>56</v>
      </c>
      <c r="H57" s="448">
        <f t="shared" si="9"/>
        <v>0.10566037735849057</v>
      </c>
    </row>
    <row r="58" spans="1:8" x14ac:dyDescent="0.25">
      <c r="A58" s="498">
        <v>21000</v>
      </c>
      <c r="B58" s="518" t="s">
        <v>12</v>
      </c>
      <c r="C58" s="556">
        <v>21900</v>
      </c>
      <c r="D58" s="499" t="s">
        <v>230</v>
      </c>
      <c r="E58" s="447">
        <v>174</v>
      </c>
      <c r="F58" s="501">
        <f t="shared" si="8"/>
        <v>6.6361556064073221E-2</v>
      </c>
      <c r="G58" s="447">
        <v>56</v>
      </c>
      <c r="H58" s="448">
        <f t="shared" si="9"/>
        <v>0.10566037735849057</v>
      </c>
    </row>
    <row r="59" spans="1:8" x14ac:dyDescent="0.25">
      <c r="A59" s="498">
        <v>22000</v>
      </c>
      <c r="B59" s="518" t="s">
        <v>13</v>
      </c>
      <c r="C59" s="556">
        <v>22900</v>
      </c>
      <c r="D59" s="499" t="s">
        <v>230</v>
      </c>
      <c r="E59" s="447">
        <v>2</v>
      </c>
      <c r="F59" s="501">
        <f t="shared" si="8"/>
        <v>7.6277650648360034E-4</v>
      </c>
      <c r="G59" s="447">
        <v>4</v>
      </c>
      <c r="H59" s="448">
        <f t="shared" si="9"/>
        <v>7.5471698113207548E-3</v>
      </c>
    </row>
    <row r="60" spans="1:8" x14ac:dyDescent="0.25">
      <c r="A60" s="498">
        <v>23000</v>
      </c>
      <c r="B60" s="518" t="s">
        <v>14</v>
      </c>
      <c r="C60" s="556">
        <v>23520</v>
      </c>
      <c r="D60" s="499" t="s">
        <v>231</v>
      </c>
      <c r="E60" s="447">
        <v>8</v>
      </c>
      <c r="F60" s="501">
        <f t="shared" si="8"/>
        <v>3.0511060259344014E-3</v>
      </c>
      <c r="G60" s="447">
        <v>4</v>
      </c>
      <c r="H60" s="448">
        <f t="shared" si="9"/>
        <v>7.5471698113207548E-3</v>
      </c>
    </row>
    <row r="61" spans="1:8" ht="15.75" thickBot="1" x14ac:dyDescent="0.3">
      <c r="A61" s="519">
        <v>28000</v>
      </c>
      <c r="B61" s="520" t="s">
        <v>19</v>
      </c>
      <c r="C61" s="557">
        <v>28140</v>
      </c>
      <c r="D61" s="558" t="s">
        <v>232</v>
      </c>
      <c r="E61" s="561">
        <v>23</v>
      </c>
      <c r="F61" s="560">
        <f t="shared" si="8"/>
        <v>8.771929824561403E-3</v>
      </c>
      <c r="G61" s="561">
        <v>14</v>
      </c>
      <c r="H61" s="562">
        <f t="shared" si="9"/>
        <v>2.6415094339622643E-2</v>
      </c>
    </row>
    <row r="62" spans="1:8" ht="15.75" thickBot="1" x14ac:dyDescent="0.3">
      <c r="A62" s="1051" t="s">
        <v>126</v>
      </c>
      <c r="B62" s="1052"/>
      <c r="C62" s="1052"/>
      <c r="D62" s="1053"/>
      <c r="E62" s="566">
        <f>SUM(E47:E61)</f>
        <v>2622</v>
      </c>
      <c r="F62" s="565">
        <f>SUM(F47:F61)</f>
        <v>1</v>
      </c>
      <c r="G62" s="566">
        <f>SUM(G47:G61)</f>
        <v>530</v>
      </c>
      <c r="H62" s="567">
        <f>SUM(H47:H61)</f>
        <v>0.99999999999999989</v>
      </c>
    </row>
    <row r="63" spans="1:8" x14ac:dyDescent="0.25">
      <c r="A63" s="359"/>
      <c r="B63" s="359"/>
      <c r="C63" s="359"/>
      <c r="D63" s="359"/>
      <c r="E63" s="621"/>
      <c r="F63" s="872"/>
      <c r="G63" s="621"/>
      <c r="H63" s="873" t="s">
        <v>330</v>
      </c>
    </row>
    <row r="64" spans="1:8" ht="15.75" thickBot="1" x14ac:dyDescent="0.3">
      <c r="A64" s="359">
        <v>2020</v>
      </c>
    </row>
    <row r="65" spans="1:8" x14ac:dyDescent="0.25">
      <c r="A65" s="1030" t="s">
        <v>2</v>
      </c>
      <c r="B65" s="1048" t="s">
        <v>3</v>
      </c>
      <c r="C65" s="1048" t="s">
        <v>177</v>
      </c>
      <c r="D65" s="1032" t="s">
        <v>141</v>
      </c>
      <c r="E65" s="1036" t="s">
        <v>223</v>
      </c>
      <c r="F65" s="1035"/>
      <c r="G65" s="1036" t="s">
        <v>224</v>
      </c>
      <c r="H65" s="1037"/>
    </row>
    <row r="66" spans="1:8" ht="27" customHeight="1" thickBot="1" x14ac:dyDescent="0.3">
      <c r="A66" s="1047"/>
      <c r="B66" s="1049"/>
      <c r="C66" s="1049"/>
      <c r="D66" s="1050"/>
      <c r="E66" s="611" t="s">
        <v>176</v>
      </c>
      <c r="F66" s="612" t="s">
        <v>142</v>
      </c>
      <c r="G66" s="611" t="s">
        <v>176</v>
      </c>
      <c r="H66" s="613" t="s">
        <v>142</v>
      </c>
    </row>
    <row r="67" spans="1:8" x14ac:dyDescent="0.25">
      <c r="A67" s="610">
        <v>11000</v>
      </c>
      <c r="B67" s="550" t="s">
        <v>4</v>
      </c>
      <c r="C67" s="609">
        <v>11310</v>
      </c>
      <c r="D67" s="551" t="s">
        <v>225</v>
      </c>
      <c r="E67" s="554">
        <v>207</v>
      </c>
      <c r="F67" s="553">
        <f t="shared" ref="F67:F81" si="10">E67/$E$82</f>
        <v>8.6574654956085323E-2</v>
      </c>
      <c r="G67" s="554">
        <v>39</v>
      </c>
      <c r="H67" s="446">
        <f t="shared" ref="H67:H81" si="11">G67/$G$82</f>
        <v>8.8636363636363638E-2</v>
      </c>
    </row>
    <row r="68" spans="1:8" x14ac:dyDescent="0.25">
      <c r="A68" s="490">
        <v>11000</v>
      </c>
      <c r="B68" s="517" t="s">
        <v>4</v>
      </c>
      <c r="C68" s="580">
        <v>11510</v>
      </c>
      <c r="D68" s="491" t="s">
        <v>226</v>
      </c>
      <c r="E68" s="494">
        <v>17</v>
      </c>
      <c r="F68" s="493">
        <f t="shared" si="10"/>
        <v>7.1099958176495193E-3</v>
      </c>
      <c r="G68" s="494">
        <v>2</v>
      </c>
      <c r="H68" s="495">
        <f t="shared" si="11"/>
        <v>4.5454545454545452E-3</v>
      </c>
    </row>
    <row r="69" spans="1:8" x14ac:dyDescent="0.25">
      <c r="A69" s="490">
        <v>11000</v>
      </c>
      <c r="B69" s="517" t="s">
        <v>4</v>
      </c>
      <c r="C69" s="580">
        <v>11320</v>
      </c>
      <c r="D69" s="491" t="s">
        <v>227</v>
      </c>
      <c r="E69" s="494">
        <v>140</v>
      </c>
      <c r="F69" s="493">
        <f t="shared" si="10"/>
        <v>5.8552906733584272E-2</v>
      </c>
      <c r="G69" s="494">
        <v>28</v>
      </c>
      <c r="H69" s="495">
        <f t="shared" si="11"/>
        <v>6.363636363636363E-2</v>
      </c>
    </row>
    <row r="70" spans="1:8" x14ac:dyDescent="0.25">
      <c r="A70" s="498">
        <v>12000</v>
      </c>
      <c r="B70" s="518" t="s">
        <v>5</v>
      </c>
      <c r="C70" s="556">
        <v>12310</v>
      </c>
      <c r="D70" s="499" t="s">
        <v>225</v>
      </c>
      <c r="E70" s="447">
        <v>134</v>
      </c>
      <c r="F70" s="501">
        <f t="shared" si="10"/>
        <v>5.6043496445002089E-2</v>
      </c>
      <c r="G70" s="447">
        <v>21</v>
      </c>
      <c r="H70" s="448">
        <f t="shared" si="11"/>
        <v>4.7727272727272729E-2</v>
      </c>
    </row>
    <row r="71" spans="1:8" x14ac:dyDescent="0.25">
      <c r="A71" s="498">
        <v>13000</v>
      </c>
      <c r="B71" s="518" t="s">
        <v>6</v>
      </c>
      <c r="C71" s="556">
        <v>13440</v>
      </c>
      <c r="D71" s="499" t="s">
        <v>225</v>
      </c>
      <c r="E71" s="447">
        <v>195</v>
      </c>
      <c r="F71" s="501">
        <f t="shared" si="10"/>
        <v>8.1555834378920958E-2</v>
      </c>
      <c r="G71" s="447">
        <v>14</v>
      </c>
      <c r="H71" s="448">
        <f t="shared" si="11"/>
        <v>3.1818181818181815E-2</v>
      </c>
    </row>
    <row r="72" spans="1:8" x14ac:dyDescent="0.25">
      <c r="A72" s="498">
        <v>14000</v>
      </c>
      <c r="B72" s="518" t="s">
        <v>7</v>
      </c>
      <c r="C72" s="556">
        <v>14310</v>
      </c>
      <c r="D72" s="499" t="s">
        <v>225</v>
      </c>
      <c r="E72" s="447">
        <v>348</v>
      </c>
      <c r="F72" s="501">
        <f t="shared" si="10"/>
        <v>0.14554579673776663</v>
      </c>
      <c r="G72" s="447">
        <v>61</v>
      </c>
      <c r="H72" s="448">
        <f t="shared" si="11"/>
        <v>0.13863636363636364</v>
      </c>
    </row>
    <row r="73" spans="1:8" x14ac:dyDescent="0.25">
      <c r="A73" s="498">
        <v>14000</v>
      </c>
      <c r="B73" s="518" t="s">
        <v>7</v>
      </c>
      <c r="C73" s="556">
        <v>14510</v>
      </c>
      <c r="D73" s="499" t="s">
        <v>228</v>
      </c>
      <c r="E73" s="447">
        <v>7</v>
      </c>
      <c r="F73" s="501">
        <f t="shared" si="10"/>
        <v>2.9276453366792136E-3</v>
      </c>
      <c r="G73" s="447">
        <v>2</v>
      </c>
      <c r="H73" s="448">
        <f t="shared" si="11"/>
        <v>4.5454545454545452E-3</v>
      </c>
    </row>
    <row r="74" spans="1:8" x14ac:dyDescent="0.25">
      <c r="A74" s="498">
        <v>15000</v>
      </c>
      <c r="B74" s="518" t="s">
        <v>8</v>
      </c>
      <c r="C74" s="556">
        <v>15310</v>
      </c>
      <c r="D74" s="499" t="s">
        <v>225</v>
      </c>
      <c r="E74" s="447">
        <v>495</v>
      </c>
      <c r="F74" s="501">
        <f t="shared" si="10"/>
        <v>0.20702634880803011</v>
      </c>
      <c r="G74" s="447">
        <v>82</v>
      </c>
      <c r="H74" s="448">
        <f t="shared" si="11"/>
        <v>0.18636363636363637</v>
      </c>
    </row>
    <row r="75" spans="1:8" x14ac:dyDescent="0.25">
      <c r="A75" s="498">
        <v>15000</v>
      </c>
      <c r="B75" s="518" t="s">
        <v>8</v>
      </c>
      <c r="C75" s="556">
        <v>15510</v>
      </c>
      <c r="D75" s="499" t="s">
        <v>229</v>
      </c>
      <c r="E75" s="447">
        <v>65</v>
      </c>
      <c r="F75" s="501">
        <f t="shared" si="10"/>
        <v>2.7185278126306986E-2</v>
      </c>
      <c r="G75" s="447">
        <v>13</v>
      </c>
      <c r="H75" s="448">
        <f t="shared" si="11"/>
        <v>2.9545454545454545E-2</v>
      </c>
    </row>
    <row r="76" spans="1:8" x14ac:dyDescent="0.25">
      <c r="A76" s="498">
        <v>17000</v>
      </c>
      <c r="B76" s="518" t="s">
        <v>9</v>
      </c>
      <c r="C76" s="556">
        <v>17310</v>
      </c>
      <c r="D76" s="499" t="s">
        <v>225</v>
      </c>
      <c r="E76" s="447">
        <v>240</v>
      </c>
      <c r="F76" s="501">
        <f t="shared" si="10"/>
        <v>0.10037641154328733</v>
      </c>
      <c r="G76" s="447">
        <v>72</v>
      </c>
      <c r="H76" s="448">
        <f t="shared" si="11"/>
        <v>0.16363636363636364</v>
      </c>
    </row>
    <row r="77" spans="1:8" x14ac:dyDescent="0.25">
      <c r="A77" s="498">
        <v>18000</v>
      </c>
      <c r="B77" s="518" t="s">
        <v>10</v>
      </c>
      <c r="C77" s="556">
        <v>18470</v>
      </c>
      <c r="D77" s="499" t="s">
        <v>225</v>
      </c>
      <c r="E77" s="447">
        <v>323</v>
      </c>
      <c r="F77" s="501">
        <f t="shared" si="10"/>
        <v>0.13508992053534086</v>
      </c>
      <c r="G77" s="447">
        <v>49</v>
      </c>
      <c r="H77" s="448">
        <f t="shared" si="11"/>
        <v>0.11136363636363636</v>
      </c>
    </row>
    <row r="78" spans="1:8" x14ac:dyDescent="0.25">
      <c r="A78" s="498">
        <v>21000</v>
      </c>
      <c r="B78" s="518" t="s">
        <v>12</v>
      </c>
      <c r="C78" s="556">
        <v>21900</v>
      </c>
      <c r="D78" s="499" t="s">
        <v>230</v>
      </c>
      <c r="E78" s="447">
        <v>163</v>
      </c>
      <c r="F78" s="501">
        <f t="shared" si="10"/>
        <v>6.8172312839815979E-2</v>
      </c>
      <c r="G78" s="447">
        <v>43</v>
      </c>
      <c r="H78" s="448">
        <f t="shared" si="11"/>
        <v>9.7727272727272732E-2</v>
      </c>
    </row>
    <row r="79" spans="1:8" x14ac:dyDescent="0.25">
      <c r="A79" s="498">
        <v>22000</v>
      </c>
      <c r="B79" s="518" t="s">
        <v>13</v>
      </c>
      <c r="C79" s="556">
        <v>22900</v>
      </c>
      <c r="D79" s="499" t="s">
        <v>230</v>
      </c>
      <c r="E79" s="447">
        <v>14</v>
      </c>
      <c r="F79" s="501">
        <f t="shared" si="10"/>
        <v>5.8552906733584272E-3</v>
      </c>
      <c r="G79" s="447">
        <v>7</v>
      </c>
      <c r="H79" s="448">
        <f t="shared" si="11"/>
        <v>1.5909090909090907E-2</v>
      </c>
    </row>
    <row r="80" spans="1:8" x14ac:dyDescent="0.25">
      <c r="A80" s="498">
        <v>23000</v>
      </c>
      <c r="B80" s="518" t="s">
        <v>14</v>
      </c>
      <c r="C80" s="556">
        <v>23520</v>
      </c>
      <c r="D80" s="499" t="s">
        <v>231</v>
      </c>
      <c r="E80" s="447">
        <v>10</v>
      </c>
      <c r="F80" s="501">
        <f t="shared" si="10"/>
        <v>4.1823504809703057E-3</v>
      </c>
      <c r="G80" s="447">
        <v>2</v>
      </c>
      <c r="H80" s="448">
        <f t="shared" si="11"/>
        <v>4.5454545454545452E-3</v>
      </c>
    </row>
    <row r="81" spans="1:8" ht="15.75" thickBot="1" x14ac:dyDescent="0.3">
      <c r="A81" s="519">
        <v>28000</v>
      </c>
      <c r="B81" s="520" t="s">
        <v>19</v>
      </c>
      <c r="C81" s="557">
        <v>28140</v>
      </c>
      <c r="D81" s="558" t="s">
        <v>232</v>
      </c>
      <c r="E81" s="561">
        <v>33</v>
      </c>
      <c r="F81" s="560">
        <f t="shared" si="10"/>
        <v>1.3801756587202008E-2</v>
      </c>
      <c r="G81" s="561">
        <v>5</v>
      </c>
      <c r="H81" s="562">
        <f t="shared" si="11"/>
        <v>1.1363636363636364E-2</v>
      </c>
    </row>
    <row r="82" spans="1:8" ht="15.75" thickBot="1" x14ac:dyDescent="0.3">
      <c r="A82" s="1051" t="s">
        <v>126</v>
      </c>
      <c r="B82" s="1052"/>
      <c r="C82" s="1052"/>
      <c r="D82" s="1053"/>
      <c r="E82" s="566">
        <f>SUM(E67:E81)</f>
        <v>2391</v>
      </c>
      <c r="F82" s="565">
        <f>SUM(F67:F81)</f>
        <v>1</v>
      </c>
      <c r="G82" s="566">
        <f>SUM(G67:G81)</f>
        <v>440</v>
      </c>
      <c r="H82" s="567">
        <f>SUM(H67:H81)</f>
        <v>0.99999999999999989</v>
      </c>
    </row>
    <row r="85" spans="1:8" x14ac:dyDescent="0.25">
      <c r="A85" s="618" t="s">
        <v>269</v>
      </c>
    </row>
  </sheetData>
  <mergeCells count="32">
    <mergeCell ref="I6:J6"/>
    <mergeCell ref="A23:D23"/>
    <mergeCell ref="G6:H6"/>
    <mergeCell ref="E6:F6"/>
    <mergeCell ref="A26:A27"/>
    <mergeCell ref="B26:B27"/>
    <mergeCell ref="C26:C27"/>
    <mergeCell ref="D26:D27"/>
    <mergeCell ref="E26:F26"/>
    <mergeCell ref="A82:D82"/>
    <mergeCell ref="G26:H26"/>
    <mergeCell ref="A3:C3"/>
    <mergeCell ref="E5:F5"/>
    <mergeCell ref="G5:H5"/>
    <mergeCell ref="A6:A7"/>
    <mergeCell ref="B6:B7"/>
    <mergeCell ref="C6:C7"/>
    <mergeCell ref="D6:D7"/>
    <mergeCell ref="A43:D43"/>
    <mergeCell ref="G45:H45"/>
    <mergeCell ref="A62:D62"/>
    <mergeCell ref="A65:A66"/>
    <mergeCell ref="B65:B66"/>
    <mergeCell ref="C65:C66"/>
    <mergeCell ref="D65:D66"/>
    <mergeCell ref="E65:F65"/>
    <mergeCell ref="G65:H65"/>
    <mergeCell ref="A45:A46"/>
    <mergeCell ref="B45:B46"/>
    <mergeCell ref="C45:C46"/>
    <mergeCell ref="D45:D46"/>
    <mergeCell ref="E45:F45"/>
  </mergeCells>
  <hyperlinks>
    <hyperlink ref="A85" location="'0 Seznam'!A1" display="Seznam" xr:uid="{30E29C72-AE70-47B6-AEF6-AE8577C7CF22}"/>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P74"/>
  <sheetViews>
    <sheetView topLeftCell="A19" zoomScale="70" zoomScaleNormal="70" workbookViewId="0">
      <selection activeCell="B2" sqref="B2"/>
    </sheetView>
  </sheetViews>
  <sheetFormatPr defaultRowHeight="15" x14ac:dyDescent="0.25"/>
  <cols>
    <col min="2" max="2" width="61.140625" customWidth="1"/>
    <col min="3" max="3" width="18" customWidth="1"/>
    <col min="4" max="4" width="22.5703125" customWidth="1"/>
    <col min="5" max="5" width="18" customWidth="1"/>
    <col min="6" max="6" width="24" customWidth="1"/>
    <col min="7" max="7" width="18" customWidth="1"/>
    <col min="8" max="8" width="20.85546875" customWidth="1"/>
    <col min="9" max="14" width="18" customWidth="1"/>
    <col min="15" max="15" width="21.5703125" customWidth="1"/>
    <col min="16" max="16" width="23.42578125" customWidth="1"/>
    <col min="17" max="17" width="20.7109375" customWidth="1"/>
  </cols>
  <sheetData>
    <row r="1" spans="1:15" ht="27.75" x14ac:dyDescent="0.4">
      <c r="A1" s="12" t="s">
        <v>320</v>
      </c>
      <c r="B1" s="13"/>
      <c r="C1" s="13"/>
      <c r="D1" s="13"/>
      <c r="E1" s="13"/>
      <c r="F1" s="13"/>
      <c r="G1" s="13"/>
      <c r="H1" s="13"/>
      <c r="I1" s="13"/>
    </row>
    <row r="2" spans="1:15" ht="28.5" x14ac:dyDescent="0.45">
      <c r="A2" s="14" t="s">
        <v>32</v>
      </c>
      <c r="B2" s="15"/>
      <c r="C2" s="15"/>
      <c r="D2" s="15"/>
      <c r="E2" s="15"/>
      <c r="F2" s="15"/>
      <c r="G2" s="15"/>
      <c r="H2" s="15"/>
      <c r="I2" s="15"/>
    </row>
    <row r="3" spans="1:15" ht="28.5" x14ac:dyDescent="0.45">
      <c r="A3" s="14"/>
      <c r="B3" s="15"/>
      <c r="C3" s="15"/>
      <c r="D3" s="15"/>
      <c r="E3" s="15"/>
      <c r="F3" s="15"/>
      <c r="G3" s="15"/>
      <c r="H3" s="15"/>
      <c r="I3" s="15"/>
    </row>
    <row r="4" spans="1:15" x14ac:dyDescent="0.25">
      <c r="A4" s="15"/>
      <c r="B4" s="16" t="s">
        <v>33</v>
      </c>
      <c r="C4" s="17">
        <f>'1 Bilance'!O19</f>
        <v>23136099832</v>
      </c>
      <c r="D4" s="16" t="s">
        <v>34</v>
      </c>
      <c r="E4" s="15"/>
      <c r="F4" s="15"/>
      <c r="G4" s="15"/>
      <c r="H4" s="15"/>
      <c r="I4" s="15"/>
    </row>
    <row r="5" spans="1:15" x14ac:dyDescent="0.25">
      <c r="A5" s="15"/>
      <c r="B5" s="16" t="s">
        <v>37</v>
      </c>
      <c r="C5" s="17">
        <f>'1 Bilance'!O16</f>
        <v>17965561474</v>
      </c>
      <c r="D5" s="16" t="s">
        <v>34</v>
      </c>
      <c r="E5" s="16" t="s">
        <v>35</v>
      </c>
      <c r="F5" s="26">
        <f>C5/$C$4</f>
        <v>0.77651642258007003</v>
      </c>
      <c r="G5" s="15"/>
      <c r="H5" s="16" t="s">
        <v>40</v>
      </c>
      <c r="I5" s="27">
        <f>C5/($C$5+$C$6)</f>
        <v>0.80608963891647079</v>
      </c>
      <c r="K5" s="17"/>
      <c r="L5" s="17"/>
      <c r="M5" s="17"/>
    </row>
    <row r="6" spans="1:15" x14ac:dyDescent="0.25">
      <c r="A6" s="15"/>
      <c r="B6" s="16" t="s">
        <v>38</v>
      </c>
      <c r="C6" s="17">
        <f>'1 Bilance'!O17</f>
        <v>4321738358</v>
      </c>
      <c r="D6" s="16" t="s">
        <v>34</v>
      </c>
      <c r="E6" s="16" t="s">
        <v>35</v>
      </c>
      <c r="F6" s="26">
        <f>C6/$C$4</f>
        <v>0.18679632217105657</v>
      </c>
      <c r="G6" s="15"/>
      <c r="H6" s="16" t="s">
        <v>40</v>
      </c>
      <c r="I6" s="27">
        <f>C6/($C$5+$C$6)</f>
        <v>0.19391036108352921</v>
      </c>
      <c r="K6" s="17"/>
      <c r="L6" s="17"/>
      <c r="M6" s="17"/>
    </row>
    <row r="7" spans="1:15" x14ac:dyDescent="0.25">
      <c r="A7" s="15"/>
      <c r="B7" s="13" t="s">
        <v>285</v>
      </c>
      <c r="C7" s="360">
        <v>40000000</v>
      </c>
      <c r="D7" s="13" t="s">
        <v>34</v>
      </c>
      <c r="E7" s="16"/>
      <c r="F7" s="26"/>
      <c r="G7" s="15"/>
      <c r="H7" s="16"/>
      <c r="I7" s="27"/>
      <c r="K7" s="17"/>
      <c r="L7" s="17"/>
      <c r="M7" s="17"/>
    </row>
    <row r="8" spans="1:15" x14ac:dyDescent="0.25">
      <c r="A8" s="15"/>
      <c r="B8" s="16" t="s">
        <v>39</v>
      </c>
      <c r="C8" s="17">
        <f>'1 Bilance'!O18</f>
        <v>848800000</v>
      </c>
      <c r="D8" s="16" t="s">
        <v>34</v>
      </c>
      <c r="E8" s="16" t="s">
        <v>35</v>
      </c>
      <c r="F8" s="26">
        <f>C8/$C$4</f>
        <v>3.6687255248873354E-2</v>
      </c>
      <c r="G8" s="15"/>
      <c r="H8" s="15"/>
      <c r="I8" s="15"/>
    </row>
    <row r="9" spans="1:15" x14ac:dyDescent="0.25">
      <c r="A9" s="15"/>
      <c r="B9" s="13" t="s">
        <v>45</v>
      </c>
      <c r="C9" s="360">
        <v>600000000</v>
      </c>
      <c r="D9" s="13" t="s">
        <v>34</v>
      </c>
      <c r="E9" s="16"/>
      <c r="F9" s="26"/>
      <c r="G9" s="15"/>
      <c r="H9" s="15"/>
      <c r="I9" s="15"/>
    </row>
    <row r="10" spans="1:15" x14ac:dyDescent="0.25">
      <c r="A10" s="15"/>
      <c r="B10" s="13" t="s">
        <v>46</v>
      </c>
      <c r="C10" s="360">
        <v>115000000</v>
      </c>
      <c r="D10" s="13" t="s">
        <v>34</v>
      </c>
      <c r="E10" s="15"/>
      <c r="F10" s="15"/>
      <c r="G10" s="15"/>
      <c r="H10" s="15"/>
      <c r="I10" s="18"/>
      <c r="J10" s="16"/>
      <c r="K10" s="18"/>
      <c r="L10" s="18"/>
      <c r="M10" s="18"/>
    </row>
    <row r="11" spans="1:15" x14ac:dyDescent="0.25">
      <c r="A11" s="15"/>
      <c r="B11" s="13" t="s">
        <v>130</v>
      </c>
      <c r="C11" s="360">
        <v>85000000</v>
      </c>
      <c r="D11" s="13" t="s">
        <v>34</v>
      </c>
      <c r="E11" s="15"/>
      <c r="F11" s="15"/>
      <c r="G11" s="15"/>
      <c r="H11" s="15"/>
      <c r="I11" s="663"/>
      <c r="J11" s="664"/>
      <c r="K11" s="18"/>
      <c r="L11" s="18"/>
      <c r="M11" s="18"/>
    </row>
    <row r="12" spans="1:15" x14ac:dyDescent="0.25">
      <c r="A12" s="15"/>
      <c r="B12" s="13" t="s">
        <v>268</v>
      </c>
      <c r="C12" s="360">
        <v>30000000</v>
      </c>
      <c r="D12" s="13" t="s">
        <v>34</v>
      </c>
      <c r="E12" s="15"/>
      <c r="F12" s="15"/>
      <c r="G12" s="15"/>
      <c r="H12" s="15"/>
      <c r="I12" s="18"/>
      <c r="J12" s="16"/>
      <c r="K12" s="18"/>
      <c r="L12" s="18"/>
      <c r="M12" s="18"/>
    </row>
    <row r="13" spans="1:15" x14ac:dyDescent="0.25">
      <c r="A13" s="15"/>
      <c r="B13" s="13" t="s">
        <v>318</v>
      </c>
      <c r="C13" s="360">
        <v>12000000</v>
      </c>
      <c r="D13" s="13" t="s">
        <v>34</v>
      </c>
      <c r="E13" s="15"/>
      <c r="F13" s="15"/>
      <c r="G13" s="15"/>
      <c r="H13" s="15"/>
      <c r="I13" s="18"/>
      <c r="J13" s="16"/>
      <c r="K13" s="18"/>
      <c r="L13" s="18"/>
      <c r="M13" s="18"/>
    </row>
    <row r="14" spans="1:15" x14ac:dyDescent="0.25">
      <c r="A14" s="15"/>
      <c r="B14" s="13" t="s">
        <v>131</v>
      </c>
      <c r="C14" s="360">
        <v>6800000</v>
      </c>
      <c r="D14" s="13" t="s">
        <v>34</v>
      </c>
      <c r="E14" s="15"/>
      <c r="F14" s="15"/>
      <c r="G14" s="15"/>
      <c r="H14" s="15"/>
      <c r="I14" s="18"/>
      <c r="K14" s="18"/>
      <c r="L14" s="18"/>
      <c r="M14" s="18"/>
      <c r="O14" s="39"/>
    </row>
    <row r="15" spans="1:15" ht="15.75" thickBot="1" x14ac:dyDescent="0.3">
      <c r="A15" s="15"/>
      <c r="B15" s="16"/>
      <c r="C15" s="15"/>
      <c r="D15" s="15"/>
      <c r="E15" s="15"/>
      <c r="F15" s="15"/>
      <c r="G15" s="15"/>
      <c r="H15" s="15"/>
      <c r="I15" s="18"/>
      <c r="K15" s="18"/>
      <c r="L15" s="18"/>
      <c r="M15" s="18"/>
      <c r="O15" s="39" t="s">
        <v>0</v>
      </c>
    </row>
    <row r="16" spans="1:15" ht="15" customHeight="1" x14ac:dyDescent="0.25">
      <c r="A16" s="1062" t="s">
        <v>2</v>
      </c>
      <c r="B16" s="1059" t="s">
        <v>3</v>
      </c>
      <c r="C16" s="1075" t="s">
        <v>41</v>
      </c>
      <c r="D16" s="1076"/>
      <c r="E16" s="1076"/>
      <c r="F16" s="1077"/>
      <c r="G16" s="1078" t="s">
        <v>42</v>
      </c>
      <c r="H16" s="1079"/>
      <c r="I16" s="1086" t="s">
        <v>1</v>
      </c>
      <c r="J16" s="1087"/>
      <c r="K16" s="1087"/>
      <c r="L16" s="1087"/>
      <c r="M16" s="1087"/>
      <c r="N16" s="1088"/>
      <c r="O16" s="1064" t="s">
        <v>36</v>
      </c>
    </row>
    <row r="17" spans="1:16" ht="30.75" customHeight="1" x14ac:dyDescent="0.25">
      <c r="A17" s="1020"/>
      <c r="B17" s="1060"/>
      <c r="C17" s="1057" t="s">
        <v>29</v>
      </c>
      <c r="D17" s="1073" t="s">
        <v>30</v>
      </c>
      <c r="E17" s="1071" t="s">
        <v>276</v>
      </c>
      <c r="F17" s="1084" t="s">
        <v>31</v>
      </c>
      <c r="G17" s="1082" t="s">
        <v>29</v>
      </c>
      <c r="H17" s="1080" t="s">
        <v>30</v>
      </c>
      <c r="I17" s="1069" t="s">
        <v>43</v>
      </c>
      <c r="J17" s="1067" t="s">
        <v>44</v>
      </c>
      <c r="K17" s="1067" t="s">
        <v>113</v>
      </c>
      <c r="L17" s="1067" t="s">
        <v>208</v>
      </c>
      <c r="M17" s="1071" t="s">
        <v>319</v>
      </c>
      <c r="N17" s="1067" t="s">
        <v>114</v>
      </c>
      <c r="O17" s="1065"/>
    </row>
    <row r="18" spans="1:16" ht="86.25" customHeight="1" thickBot="1" x14ac:dyDescent="0.3">
      <c r="A18" s="1063"/>
      <c r="B18" s="1061"/>
      <c r="C18" s="1058"/>
      <c r="D18" s="1074"/>
      <c r="E18" s="1072"/>
      <c r="F18" s="1085"/>
      <c r="G18" s="1083"/>
      <c r="H18" s="1081"/>
      <c r="I18" s="1070"/>
      <c r="J18" s="1068"/>
      <c r="K18" s="1068"/>
      <c r="L18" s="1068"/>
      <c r="M18" s="1072"/>
      <c r="N18" s="1068"/>
      <c r="O18" s="1066"/>
    </row>
    <row r="19" spans="1:16" x14ac:dyDescent="0.25">
      <c r="A19" s="29">
        <v>11000</v>
      </c>
      <c r="B19" s="31" t="s">
        <v>4</v>
      </c>
      <c r="C19" s="30">
        <v>0.17769266393013733</v>
      </c>
      <c r="D19" s="1">
        <f>ROUND(C19*$C$5,0)</f>
        <v>3192348477</v>
      </c>
      <c r="E19" s="1"/>
      <c r="F19" s="2">
        <f>D19-E19</f>
        <v>3192348477</v>
      </c>
      <c r="G19" s="33">
        <f>'2d Výkonová část segment 4'!V6</f>
        <v>0.20576639058859766</v>
      </c>
      <c r="H19" s="2">
        <f>ROUND(G19*$C$6,0)</f>
        <v>889268503</v>
      </c>
      <c r="I19" s="309">
        <f>SUMIF('3a Ukazatel P - lékařské fakult'!$A$6:$A$13,'4 RO I'!A19,'3a Ukazatel P - lékařské fakult'!$E$6:$E$13)</f>
        <v>381851937</v>
      </c>
      <c r="J19" s="310">
        <f>SUMIF('3b Ukazatel P - Pedagog. fak.'!$A$8:$A$16,'4 RO I'!A19,'3b Ukazatel P - Pedagog. fak.'!$P$8:$P$16)</f>
        <v>18828644</v>
      </c>
      <c r="K19" s="310">
        <f>SUMIF('3c Ukazatel P - pedagogické SP'!$B$10:$B$25,'4 RO I'!A19,'3c Ukazatel P - pedagogické SP'!$I$10:$I$25)</f>
        <v>14631602</v>
      </c>
      <c r="L19" s="540">
        <f>SUMIF('3d Ukazatel P - deficitní aprob'!$A$8:$A$22,'4 RO I'!A19,'3d Ukazatel P - deficitní aprob'!$J$8:$J$22)</f>
        <v>4109660.8327739602</v>
      </c>
      <c r="M19" s="540"/>
      <c r="N19" s="311"/>
      <c r="O19" s="303">
        <f>ROUND(SUM(F19,H19,I19:N19),0)</f>
        <v>4501038824</v>
      </c>
      <c r="P19" s="616"/>
    </row>
    <row r="20" spans="1:16" x14ac:dyDescent="0.25">
      <c r="A20" s="28">
        <v>12000</v>
      </c>
      <c r="B20" s="32" t="s">
        <v>5</v>
      </c>
      <c r="C20" s="20">
        <v>3.082602439109907E-2</v>
      </c>
      <c r="D20" s="4">
        <f t="shared" ref="D20:D44" si="0">ROUND(C20*$C$5,0)</f>
        <v>553806836</v>
      </c>
      <c r="E20" s="4"/>
      <c r="F20" s="5">
        <f t="shared" ref="F20:F44" si="1">D20-E20</f>
        <v>553806836</v>
      </c>
      <c r="G20" s="34">
        <f>'2c Výkonová část segment 3'!V6</f>
        <v>3.0019726398680002E-2</v>
      </c>
      <c r="H20" s="5">
        <f t="shared" ref="H20:H44" si="2">ROUND(G20*$C$6,0)</f>
        <v>129737403</v>
      </c>
      <c r="I20" s="312"/>
      <c r="J20" s="4">
        <f>SUMIF('3b Ukazatel P - Pedagog. fak.'!$A$8:$A$16,'4 RO I'!A20,'3b Ukazatel P - Pedagog. fak.'!$P$8:$P$16)</f>
        <v>10613989</v>
      </c>
      <c r="K20" s="4">
        <f>SUMIF('3c Ukazatel P - pedagogické SP'!$B$10:$B$25,'4 RO I'!A20,'3c Ukazatel P - pedagogické SP'!$I$10:$I$25)</f>
        <v>5973401</v>
      </c>
      <c r="L20" s="5">
        <f>SUMIF('3d Ukazatel P - deficitní aprob'!$A$8:$A$22,'4 RO I'!A20,'3d Ukazatel P - deficitní aprob'!$J$8:$J$22)</f>
        <v>1766984.4677241601</v>
      </c>
      <c r="M20" s="5"/>
      <c r="N20" s="19"/>
      <c r="O20" s="304">
        <f t="shared" ref="O20:O44" si="3">ROUND(SUM(F20,H20,I20:N20),0)</f>
        <v>701898613</v>
      </c>
      <c r="P20" s="616"/>
    </row>
    <row r="21" spans="1:16" x14ac:dyDescent="0.25">
      <c r="A21" s="28">
        <v>13000</v>
      </c>
      <c r="B21" s="32" t="s">
        <v>6</v>
      </c>
      <c r="C21" s="20">
        <v>2.4582741623257617E-2</v>
      </c>
      <c r="D21" s="4">
        <f t="shared" si="0"/>
        <v>441642756</v>
      </c>
      <c r="E21" s="4"/>
      <c r="F21" s="5">
        <f t="shared" si="1"/>
        <v>441642756</v>
      </c>
      <c r="G21" s="34">
        <f>'2c Výkonová část segment 3'!V7</f>
        <v>1.3863994331589457E-2</v>
      </c>
      <c r="H21" s="5">
        <f t="shared" si="2"/>
        <v>59916556</v>
      </c>
      <c r="I21" s="312"/>
      <c r="J21" s="4">
        <f>SUMIF('3b Ukazatel P - Pedagog. fak.'!$A$8:$A$16,'4 RO I'!A21,'3b Ukazatel P - Pedagog. fak.'!$P$8:$P$16)</f>
        <v>11660220</v>
      </c>
      <c r="K21" s="4">
        <f>SUMIF('3c Ukazatel P - pedagogické SP'!$B$10:$B$25,'4 RO I'!A21,'3c Ukazatel P - pedagogické SP'!$I$10:$I$25)</f>
        <v>4733158</v>
      </c>
      <c r="L21" s="5">
        <f>SUMIF('3d Ukazatel P - deficitní aprob'!$A$8:$A$22,'4 RO I'!A21,'3d Ukazatel P - deficitní aprob'!$J$8:$J$22)</f>
        <v>1587635.8214432823</v>
      </c>
      <c r="M21" s="5"/>
      <c r="N21" s="19"/>
      <c r="O21" s="304">
        <f t="shared" si="3"/>
        <v>519540326</v>
      </c>
      <c r="P21" s="616"/>
    </row>
    <row r="22" spans="1:16" x14ac:dyDescent="0.25">
      <c r="A22" s="28">
        <v>14000</v>
      </c>
      <c r="B22" s="32" t="s">
        <v>7</v>
      </c>
      <c r="C22" s="20">
        <v>0.1168226092020371</v>
      </c>
      <c r="D22" s="4">
        <f t="shared" si="0"/>
        <v>2098783767</v>
      </c>
      <c r="E22" s="4"/>
      <c r="F22" s="5">
        <f t="shared" si="1"/>
        <v>2098783767</v>
      </c>
      <c r="G22" s="33">
        <f>'2d Výkonová část segment 4'!V7</f>
        <v>0.12320282946592509</v>
      </c>
      <c r="H22" s="5">
        <f t="shared" si="2"/>
        <v>532450394</v>
      </c>
      <c r="I22" s="312">
        <f>SUMIF('3a Ukazatel P - lékařské fakult'!$A$6:$A$13,'4 RO I'!A22,'3a Ukazatel P - lékařské fakult'!$E$6:$E$13)</f>
        <v>120020131</v>
      </c>
      <c r="J22" s="4">
        <f>SUMIF('3b Ukazatel P - Pedagog. fak.'!$A$8:$A$16,'4 RO I'!A22,'3b Ukazatel P - Pedagog. fak.'!$P$8:$P$16)</f>
        <v>12426451</v>
      </c>
      <c r="K22" s="4">
        <f>SUMIF('3c Ukazatel P - pedagogické SP'!$B$10:$B$25,'4 RO I'!A22,'3c Ukazatel P - pedagogické SP'!$I$10:$I$25)</f>
        <v>16231206</v>
      </c>
      <c r="L22" s="5">
        <f>SUMIF('3d Ukazatel P - deficitní aprob'!$A$8:$A$22,'4 RO I'!A22,'3d Ukazatel P - deficitní aprob'!$J$8:$J$22)</f>
        <v>4415818.5976779396</v>
      </c>
      <c r="M22" s="5"/>
      <c r="N22" s="19"/>
      <c r="O22" s="305">
        <f t="shared" si="3"/>
        <v>2784327768</v>
      </c>
      <c r="P22" s="616"/>
    </row>
    <row r="23" spans="1:16" x14ac:dyDescent="0.25">
      <c r="A23" s="28">
        <v>15000</v>
      </c>
      <c r="B23" s="32" t="s">
        <v>8</v>
      </c>
      <c r="C23" s="20">
        <v>6.3291886180730228E-2</v>
      </c>
      <c r="D23" s="4">
        <f t="shared" si="0"/>
        <v>1137074272</v>
      </c>
      <c r="E23" s="4"/>
      <c r="F23" s="5">
        <f t="shared" si="1"/>
        <v>1137074272</v>
      </c>
      <c r="G23" s="33">
        <f>'2d Výkonová část segment 4'!V8</f>
        <v>6.9644172897036546E-2</v>
      </c>
      <c r="H23" s="5">
        <f t="shared" si="2"/>
        <v>300983893</v>
      </c>
      <c r="I23" s="312">
        <f>SUMIF('3a Ukazatel P - lékařské fakult'!$A$6:$A$13,'4 RO I'!A23,'3a Ukazatel P - lékařské fakult'!$E$6:$E$13)</f>
        <v>66315642</v>
      </c>
      <c r="J23" s="4">
        <f>SUMIF('3b Ukazatel P - Pedagog. fak.'!$A$8:$A$16,'4 RO I'!A23,'3b Ukazatel P - Pedagog. fak.'!$P$8:$P$16)</f>
        <v>11933571</v>
      </c>
      <c r="K23" s="4">
        <f>SUMIF('3c Ukazatel P - pedagogické SP'!$B$10:$B$25,'4 RO I'!A23,'3c Ukazatel P - pedagogické SP'!$I$10:$I$25)</f>
        <v>15896537</v>
      </c>
      <c r="L23" s="5">
        <f>SUMIF('3d Ukazatel P - deficitní aprob'!$A$8:$A$22,'4 RO I'!A23,'3d Ukazatel P - deficitní aprob'!$J$8:$J$22)</f>
        <v>6425579.1037031393</v>
      </c>
      <c r="M23" s="5"/>
      <c r="N23" s="19"/>
      <c r="O23" s="305">
        <f t="shared" si="3"/>
        <v>1538629494</v>
      </c>
      <c r="P23" s="616"/>
    </row>
    <row r="24" spans="1:16" x14ac:dyDescent="0.25">
      <c r="A24" s="28">
        <v>16000</v>
      </c>
      <c r="B24" s="32" t="s">
        <v>296</v>
      </c>
      <c r="C24" s="20">
        <v>1.2314671012166578E-2</v>
      </c>
      <c r="D24" s="4">
        <f t="shared" si="0"/>
        <v>221239979</v>
      </c>
      <c r="E24" s="4"/>
      <c r="F24" s="5">
        <f t="shared" si="1"/>
        <v>221239979</v>
      </c>
      <c r="G24" s="34">
        <f>'2c Výkonová část segment 3'!V8</f>
        <v>8.2775609599662955E-3</v>
      </c>
      <c r="H24" s="5">
        <f t="shared" si="2"/>
        <v>35773453</v>
      </c>
      <c r="I24" s="312"/>
      <c r="J24" s="4"/>
      <c r="K24" s="4"/>
      <c r="L24" s="5"/>
      <c r="M24" s="5">
        <v>12000000</v>
      </c>
      <c r="N24" s="19"/>
      <c r="O24" s="304">
        <f t="shared" si="3"/>
        <v>269013432</v>
      </c>
      <c r="P24" s="616"/>
    </row>
    <row r="25" spans="1:16" x14ac:dyDescent="0.25">
      <c r="A25" s="28">
        <v>17000</v>
      </c>
      <c r="B25" s="32" t="s">
        <v>9</v>
      </c>
      <c r="C25" s="20">
        <v>2.7883961720174572E-2</v>
      </c>
      <c r="D25" s="4">
        <f t="shared" si="0"/>
        <v>500951028</v>
      </c>
      <c r="E25" s="4"/>
      <c r="F25" s="5">
        <f t="shared" si="1"/>
        <v>500951028</v>
      </c>
      <c r="G25" s="34">
        <f>'2c Výkonová část segment 3'!V9</f>
        <v>2.6383755354305025E-2</v>
      </c>
      <c r="H25" s="5">
        <f t="shared" si="2"/>
        <v>114023688</v>
      </c>
      <c r="I25" s="312">
        <f>SUMIF('3a Ukazatel P - lékařské fakult'!$A$6:$A$13,'4 RO I'!A25,'3a Ukazatel P - lékařské fakult'!$E$6:$E$13)</f>
        <v>31812290</v>
      </c>
      <c r="J25" s="4">
        <f>SUMIF('3b Ukazatel P - Pedagog. fak.'!$A$8:$A$16,'4 RO I'!A25,'3b Ukazatel P - Pedagog. fak.'!$P$8:$P$16)</f>
        <v>9409581</v>
      </c>
      <c r="K25" s="4">
        <f>SUMIF('3c Ukazatel P - pedagogické SP'!$B$10:$B$25,'4 RO I'!A25,'3c Ukazatel P - pedagogické SP'!$I$10:$I$25)</f>
        <v>6345002</v>
      </c>
      <c r="L25" s="5">
        <f>SUMIF('3d Ukazatel P - deficitní aprob'!$A$8:$A$22,'4 RO I'!A25,'3d Ukazatel P - deficitní aprob'!$J$8:$J$22)</f>
        <v>4442523.291894312</v>
      </c>
      <c r="M25" s="5"/>
      <c r="N25" s="19"/>
      <c r="O25" s="304">
        <f t="shared" si="3"/>
        <v>666984112</v>
      </c>
      <c r="P25" s="616"/>
    </row>
    <row r="26" spans="1:16" x14ac:dyDescent="0.25">
      <c r="A26" s="28">
        <v>18000</v>
      </c>
      <c r="B26" s="32" t="s">
        <v>10</v>
      </c>
      <c r="C26" s="20">
        <v>1.6988869327702848E-2</v>
      </c>
      <c r="D26" s="4">
        <f t="shared" si="0"/>
        <v>305214576</v>
      </c>
      <c r="E26" s="4"/>
      <c r="F26" s="5">
        <f t="shared" si="1"/>
        <v>305214576</v>
      </c>
      <c r="G26" s="34">
        <f>'2c Výkonová část segment 3'!V10</f>
        <v>1.824249362795503E-2</v>
      </c>
      <c r="H26" s="5">
        <f>ROUND(G26*$C$6+0.1,0)</f>
        <v>78839285</v>
      </c>
      <c r="I26" s="312"/>
      <c r="J26" s="4">
        <f>SUMIF('3b Ukazatel P - Pedagog. fak.'!$A$8:$A$16,'4 RO I'!A26,'3b Ukazatel P - Pedagog. fak.'!$P$8:$P$16)</f>
        <v>13228217</v>
      </c>
      <c r="K26" s="4">
        <f>SUMIF('3c Ukazatel P - pedagogické SP'!$B$10:$B$25,'4 RO I'!A26,'3c Ukazatel P - pedagogické SP'!$I$10:$I$25)</f>
        <v>6416457</v>
      </c>
      <c r="L26" s="5">
        <f>SUMIF('3d Ukazatel P - deficitní aprob'!$A$8:$A$22,'4 RO I'!A26,'3d Ukazatel P - deficitní aprob'!$J$8:$J$22)</f>
        <v>3837250.0163855683</v>
      </c>
      <c r="M26" s="5"/>
      <c r="N26" s="19"/>
      <c r="O26" s="304">
        <f t="shared" si="3"/>
        <v>407535785</v>
      </c>
      <c r="P26" s="616"/>
    </row>
    <row r="27" spans="1:16" x14ac:dyDescent="0.25">
      <c r="A27" s="28">
        <v>19000</v>
      </c>
      <c r="B27" s="32" t="s">
        <v>11</v>
      </c>
      <c r="C27" s="20">
        <v>1.5380770044140011E-2</v>
      </c>
      <c r="D27" s="4">
        <f t="shared" si="0"/>
        <v>276324170</v>
      </c>
      <c r="E27" s="4"/>
      <c r="F27" s="5">
        <f t="shared" si="1"/>
        <v>276324170</v>
      </c>
      <c r="G27" s="34">
        <f>'2c Výkonová část segment 3'!V11</f>
        <v>9.6821958889581825E-3</v>
      </c>
      <c r="H27" s="5">
        <f t="shared" si="2"/>
        <v>41843917</v>
      </c>
      <c r="I27" s="312"/>
      <c r="J27" s="4"/>
      <c r="K27" s="4">
        <f>SUMIF('3c Ukazatel P - pedagogické SP'!$B$10:$B$25,'4 RO I'!A27,'3c Ukazatel P - pedagogické SP'!$I$10:$I$25)</f>
        <v>798843</v>
      </c>
      <c r="L27" s="5"/>
      <c r="M27" s="5"/>
      <c r="N27" s="19"/>
      <c r="O27" s="304">
        <f t="shared" si="3"/>
        <v>318966930</v>
      </c>
      <c r="P27" s="616"/>
    </row>
    <row r="28" spans="1:16" x14ac:dyDescent="0.25">
      <c r="A28" s="28">
        <v>21000</v>
      </c>
      <c r="B28" s="32" t="s">
        <v>12</v>
      </c>
      <c r="C28" s="20">
        <v>8.6000149591062336E-2</v>
      </c>
      <c r="D28" s="4">
        <f>ROUND(C28*$C$5,0)</f>
        <v>1545040974</v>
      </c>
      <c r="E28" s="4"/>
      <c r="F28" s="5">
        <f t="shared" si="1"/>
        <v>1545040974</v>
      </c>
      <c r="G28" s="33">
        <f>'2d Výkonová část segment 4'!V9</f>
        <v>8.3674132273753907E-2</v>
      </c>
      <c r="H28" s="5">
        <f t="shared" si="2"/>
        <v>361617707</v>
      </c>
      <c r="I28" s="312"/>
      <c r="J28" s="4"/>
      <c r="K28" s="4">
        <f>SUMIF('3c Ukazatel P - pedagogické SP'!$B$10:$B$25,'4 RO I'!A28,'3c Ukazatel P - pedagogické SP'!$I$10:$I$25)</f>
        <v>572269</v>
      </c>
      <c r="L28" s="5">
        <f>SUMIF('3d Ukazatel P - deficitní aprob'!$A$8:$A$22,'4 RO I'!A28,'3d Ukazatel P - deficitní aprob'!$J$8:$J$22)</f>
        <v>2732438.6567204804</v>
      </c>
      <c r="M28" s="5"/>
      <c r="N28" s="19"/>
      <c r="O28" s="305">
        <f t="shared" si="3"/>
        <v>1909963389</v>
      </c>
      <c r="P28" s="616"/>
    </row>
    <row r="29" spans="1:16" x14ac:dyDescent="0.25">
      <c r="A29" s="28">
        <v>22000</v>
      </c>
      <c r="B29" s="32" t="s">
        <v>13</v>
      </c>
      <c r="C29" s="20">
        <v>2.2861221426518533E-2</v>
      </c>
      <c r="D29" s="4">
        <f t="shared" si="0"/>
        <v>410714679</v>
      </c>
      <c r="E29" s="4"/>
      <c r="F29" s="5">
        <f t="shared" si="1"/>
        <v>410714679</v>
      </c>
      <c r="G29" s="34">
        <f>'2c Výkonová část segment 3'!V12</f>
        <v>3.4592083349798491E-2</v>
      </c>
      <c r="H29" s="5">
        <f t="shared" si="2"/>
        <v>149497933</v>
      </c>
      <c r="I29" s="312"/>
      <c r="J29" s="4"/>
      <c r="K29" s="4">
        <f>SUMIF('3c Ukazatel P - pedagogické SP'!$B$10:$B$25,'4 RO I'!A29,'3c Ukazatel P - pedagogické SP'!$I$10:$I$25)</f>
        <v>30205</v>
      </c>
      <c r="L29" s="5">
        <f>SUMIF('3d Ukazatel P - deficitní aprob'!$A$8:$A$22,'4 RO I'!A29,'3d Ukazatel P - deficitní aprob'!$J$8:$J$22)</f>
        <v>150165.48868075633</v>
      </c>
      <c r="M29" s="5"/>
      <c r="N29" s="19"/>
      <c r="O29" s="304">
        <f t="shared" si="3"/>
        <v>560392982</v>
      </c>
      <c r="P29" s="616"/>
    </row>
    <row r="30" spans="1:16" x14ac:dyDescent="0.25">
      <c r="A30" s="28">
        <v>23000</v>
      </c>
      <c r="B30" s="32" t="s">
        <v>14</v>
      </c>
      <c r="C30" s="20">
        <v>3.7418715986449913E-2</v>
      </c>
      <c r="D30" s="4">
        <f t="shared" si="0"/>
        <v>672248242</v>
      </c>
      <c r="E30" s="4"/>
      <c r="F30" s="5">
        <f t="shared" si="1"/>
        <v>672248242</v>
      </c>
      <c r="G30" s="34">
        <f>'2c Výkonová část segment 3'!V13</f>
        <v>3.3334826465024996E-2</v>
      </c>
      <c r="H30" s="5">
        <f t="shared" si="2"/>
        <v>144064398</v>
      </c>
      <c r="I30" s="312"/>
      <c r="J30" s="4">
        <f>SUMIF('3b Ukazatel P - Pedagog. fak.'!$A$8:$A$16,'4 RO I'!A30,'3b Ukazatel P - Pedagog. fak.'!$P$8:$P$16)</f>
        <v>13711938</v>
      </c>
      <c r="K30" s="4">
        <f>SUMIF('3c Ukazatel P - pedagogické SP'!$B$10:$B$25,'4 RO I'!A30,'3c Ukazatel P - pedagogické SP'!$I$10:$I$25)</f>
        <v>4175155</v>
      </c>
      <c r="L30" s="5">
        <f>SUMIF('3d Ukazatel P - deficitní aprob'!$A$8:$A$22,'4 RO I'!A30,'3d Ukazatel P - deficitní aprob'!$J$8:$J$22)</f>
        <v>110854.78729242757</v>
      </c>
      <c r="M30" s="5"/>
      <c r="N30" s="19"/>
      <c r="O30" s="304">
        <f t="shared" si="3"/>
        <v>834310588</v>
      </c>
      <c r="P30" s="616"/>
    </row>
    <row r="31" spans="1:16" x14ac:dyDescent="0.25">
      <c r="A31" s="28">
        <v>24000</v>
      </c>
      <c r="B31" s="32" t="s">
        <v>15</v>
      </c>
      <c r="C31" s="20">
        <v>2.1809672008994151E-2</v>
      </c>
      <c r="D31" s="4">
        <f t="shared" si="0"/>
        <v>391823003</v>
      </c>
      <c r="E31" s="4"/>
      <c r="F31" s="5">
        <f t="shared" si="1"/>
        <v>391823003</v>
      </c>
      <c r="G31" s="34">
        <f>'2c Výkonová část segment 3'!V14</f>
        <v>1.7162662135116202E-2</v>
      </c>
      <c r="H31" s="5">
        <f t="shared" si="2"/>
        <v>74172535</v>
      </c>
      <c r="I31" s="312"/>
      <c r="J31" s="4">
        <f>SUMIF('3b Ukazatel P - Pedagog. fak.'!$A$8:$A$16,'4 RO I'!A31,'3b Ukazatel P - Pedagog. fak.'!$P$8:$P$16)</f>
        <v>13187389</v>
      </c>
      <c r="K31" s="4">
        <f>SUMIF('3c Ukazatel P - pedagogické SP'!$B$10:$B$25,'4 RO I'!A31,'3c Ukazatel P - pedagogické SP'!$I$10:$I$25)</f>
        <v>3551588</v>
      </c>
      <c r="L31" s="5"/>
      <c r="M31" s="5"/>
      <c r="N31" s="19"/>
      <c r="O31" s="304">
        <f t="shared" si="3"/>
        <v>482734515</v>
      </c>
      <c r="P31" s="616"/>
    </row>
    <row r="32" spans="1:16" x14ac:dyDescent="0.25">
      <c r="A32" s="28">
        <v>25000</v>
      </c>
      <c r="B32" s="32" t="s">
        <v>16</v>
      </c>
      <c r="C32" s="20">
        <v>2.6156400983062163E-2</v>
      </c>
      <c r="D32" s="4">
        <f t="shared" si="0"/>
        <v>469914430</v>
      </c>
      <c r="E32" s="4"/>
      <c r="F32" s="5">
        <f>D32-E32</f>
        <v>469914430</v>
      </c>
      <c r="G32" s="34">
        <f>'2c Výkonová část segment 3'!V15</f>
        <v>2.0278140956667311E-2</v>
      </c>
      <c r="H32" s="5">
        <f t="shared" si="2"/>
        <v>87636820</v>
      </c>
      <c r="I32" s="312"/>
      <c r="J32" s="4"/>
      <c r="K32" s="4">
        <f>SUMIF('3c Ukazatel P - pedagogické SP'!$B$10:$B$25,'4 RO I'!A32,'3c Ukazatel P - pedagogické SP'!$I$10:$I$25)</f>
        <v>484580</v>
      </c>
      <c r="L32" s="5"/>
      <c r="M32" s="5"/>
      <c r="N32" s="19"/>
      <c r="O32" s="304">
        <f t="shared" si="3"/>
        <v>558035830</v>
      </c>
      <c r="P32" s="616"/>
    </row>
    <row r="33" spans="1:16" x14ac:dyDescent="0.25">
      <c r="A33" s="28">
        <v>26000</v>
      </c>
      <c r="B33" s="32" t="s">
        <v>17</v>
      </c>
      <c r="C33" s="20">
        <v>6.9372909625618692E-2</v>
      </c>
      <c r="D33" s="4">
        <f t="shared" si="0"/>
        <v>1246323273</v>
      </c>
      <c r="E33" s="4"/>
      <c r="F33" s="5">
        <f t="shared" si="1"/>
        <v>1246323273</v>
      </c>
      <c r="G33" s="33">
        <f>'2d Výkonová část segment 4'!V10</f>
        <v>6.1719384107196379E-2</v>
      </c>
      <c r="H33" s="5">
        <f t="shared" si="2"/>
        <v>266735030</v>
      </c>
      <c r="I33" s="312"/>
      <c r="J33" s="4"/>
      <c r="K33" s="4"/>
      <c r="L33" s="5"/>
      <c r="M33" s="5"/>
      <c r="N33" s="19"/>
      <c r="O33" s="305">
        <f t="shared" si="3"/>
        <v>1513058303</v>
      </c>
      <c r="P33" s="616"/>
    </row>
    <row r="34" spans="1:16" x14ac:dyDescent="0.25">
      <c r="A34" s="28">
        <v>27000</v>
      </c>
      <c r="B34" s="32" t="s">
        <v>18</v>
      </c>
      <c r="C34" s="20">
        <v>4.8347993229739039E-2</v>
      </c>
      <c r="D34" s="4">
        <f t="shared" si="0"/>
        <v>868598845</v>
      </c>
      <c r="E34" s="4"/>
      <c r="F34" s="5">
        <f t="shared" si="1"/>
        <v>868598845</v>
      </c>
      <c r="G34" s="34">
        <f>'2c Výkonová část segment 3'!V16</f>
        <v>3.5026892653220246E-2</v>
      </c>
      <c r="H34" s="5">
        <f t="shared" si="2"/>
        <v>151377066</v>
      </c>
      <c r="I34" s="312"/>
      <c r="J34" s="4"/>
      <c r="K34" s="4"/>
      <c r="L34" s="5"/>
      <c r="M34" s="5"/>
      <c r="N34" s="19"/>
      <c r="O34" s="304">
        <f t="shared" si="3"/>
        <v>1019975911</v>
      </c>
      <c r="P34" s="616"/>
    </row>
    <row r="35" spans="1:16" x14ac:dyDescent="0.25">
      <c r="A35" s="28">
        <v>28000</v>
      </c>
      <c r="B35" s="32" t="s">
        <v>19</v>
      </c>
      <c r="C35" s="20">
        <v>3.1624516501885302E-2</v>
      </c>
      <c r="D35" s="4">
        <f>ROUND(C35*$C$5+0.1,0)</f>
        <v>568152195</v>
      </c>
      <c r="E35" s="4"/>
      <c r="F35" s="5">
        <f t="shared" si="1"/>
        <v>568152195</v>
      </c>
      <c r="G35" s="34">
        <f>'2c Výkonová část segment 3'!V17</f>
        <v>2.2716157592867142E-2</v>
      </c>
      <c r="H35" s="5">
        <f t="shared" si="2"/>
        <v>98173290</v>
      </c>
      <c r="I35" s="312"/>
      <c r="J35" s="4"/>
      <c r="K35" s="4">
        <f>SUMIF('3c Ukazatel P - pedagogické SP'!$B$10:$B$25,'4 RO I'!A35,'3c Ukazatel P - pedagogické SP'!$I$10:$I$25)</f>
        <v>3345886</v>
      </c>
      <c r="L35" s="5">
        <f>SUMIF('3d Ukazatel P - deficitní aprob'!$A$8:$A$22,'4 RO I'!A35,'3d Ukazatel P - deficitní aprob'!$J$8:$J$22)</f>
        <v>421088.93570397532</v>
      </c>
      <c r="M35" s="5"/>
      <c r="N35" s="19"/>
      <c r="O35" s="304">
        <f t="shared" si="3"/>
        <v>670092460</v>
      </c>
      <c r="P35" s="616"/>
    </row>
    <row r="36" spans="1:16" x14ac:dyDescent="0.25">
      <c r="A36" s="28">
        <v>31000</v>
      </c>
      <c r="B36" s="32" t="s">
        <v>20</v>
      </c>
      <c r="C36" s="20">
        <v>3.6223762423103448E-2</v>
      </c>
      <c r="D36" s="4">
        <f t="shared" si="0"/>
        <v>650780231</v>
      </c>
      <c r="E36" s="4"/>
      <c r="F36" s="5">
        <f t="shared" si="1"/>
        <v>650780231</v>
      </c>
      <c r="G36" s="34">
        <f>'2c Výkonová část segment 3'!V18</f>
        <v>3.4465913691261819E-2</v>
      </c>
      <c r="H36" s="5">
        <f t="shared" si="2"/>
        <v>148952661</v>
      </c>
      <c r="I36" s="312"/>
      <c r="J36" s="4"/>
      <c r="K36" s="4"/>
      <c r="L36" s="5"/>
      <c r="M36" s="5"/>
      <c r="N36" s="19">
        <v>6800000</v>
      </c>
      <c r="O36" s="304">
        <f t="shared" si="3"/>
        <v>806532892</v>
      </c>
      <c r="P36" s="616"/>
    </row>
    <row r="37" spans="1:16" x14ac:dyDescent="0.25">
      <c r="A37" s="28">
        <v>41000</v>
      </c>
      <c r="B37" s="32" t="s">
        <v>21</v>
      </c>
      <c r="C37" s="20">
        <v>5.0773398703077011E-2</v>
      </c>
      <c r="D37" s="4">
        <f t="shared" si="0"/>
        <v>912172616</v>
      </c>
      <c r="E37" s="4"/>
      <c r="F37" s="5">
        <f t="shared" si="1"/>
        <v>912172616</v>
      </c>
      <c r="G37" s="34">
        <f>'2c Výkonová část segment 3'!V19</f>
        <v>5.2639917161516621E-2</v>
      </c>
      <c r="H37" s="5">
        <f>ROUND(G37*$C$6,0)</f>
        <v>227495949</v>
      </c>
      <c r="I37" s="312"/>
      <c r="J37" s="4"/>
      <c r="K37" s="4">
        <f>SUMIF('3c Ukazatel P - pedagogické SP'!$B$10:$B$25,'4 RO I'!A37,'3c Ukazatel P - pedagogické SP'!$I$10:$I$25)</f>
        <v>1105930</v>
      </c>
      <c r="L37" s="5"/>
      <c r="M37" s="5"/>
      <c r="N37" s="19"/>
      <c r="O37" s="304">
        <f t="shared" si="3"/>
        <v>1140774495</v>
      </c>
      <c r="P37" s="616"/>
    </row>
    <row r="38" spans="1:16" x14ac:dyDescent="0.25">
      <c r="A38" s="28">
        <v>43000</v>
      </c>
      <c r="B38" s="32" t="s">
        <v>22</v>
      </c>
      <c r="C38" s="20">
        <v>2.9669895062079548E-2</v>
      </c>
      <c r="D38" s="4">
        <f t="shared" si="0"/>
        <v>533036324</v>
      </c>
      <c r="E38" s="4"/>
      <c r="F38" s="5">
        <f t="shared" si="1"/>
        <v>533036324</v>
      </c>
      <c r="G38" s="34">
        <f>'2c Výkonová část segment 3'!V20</f>
        <v>3.0018247509679657E-2</v>
      </c>
      <c r="H38" s="5">
        <f>ROUND(G38*$C$6,0)</f>
        <v>129731012</v>
      </c>
      <c r="I38" s="312"/>
      <c r="J38" s="4"/>
      <c r="K38" s="4">
        <f>SUMIF('3c Ukazatel P - pedagogické SP'!$B$10:$B$25,'4 RO I'!A38,'3c Ukazatel P - pedagogické SP'!$I$10:$I$25)</f>
        <v>708181</v>
      </c>
      <c r="L38" s="5"/>
      <c r="M38" s="5"/>
      <c r="N38" s="19"/>
      <c r="O38" s="304">
        <f t="shared" si="3"/>
        <v>663475517</v>
      </c>
      <c r="P38" s="616"/>
    </row>
    <row r="39" spans="1:16" x14ac:dyDescent="0.25">
      <c r="A39" s="28">
        <v>51000</v>
      </c>
      <c r="B39" s="32" t="s">
        <v>23</v>
      </c>
      <c r="C39" s="20">
        <v>1.772E-2</v>
      </c>
      <c r="D39" s="4">
        <f t="shared" si="0"/>
        <v>318349749</v>
      </c>
      <c r="E39" s="4"/>
      <c r="F39" s="5">
        <f t="shared" si="1"/>
        <v>318349749</v>
      </c>
      <c r="G39" s="34">
        <f>'2a Výkonová část segment 1'!R6</f>
        <v>2.4949012843315702E-2</v>
      </c>
      <c r="H39" s="5">
        <f t="shared" si="2"/>
        <v>107823106</v>
      </c>
      <c r="I39" s="312"/>
      <c r="J39" s="4"/>
      <c r="K39" s="4"/>
      <c r="L39" s="5"/>
      <c r="M39" s="5"/>
      <c r="N39" s="19"/>
      <c r="O39" s="306">
        <f t="shared" si="3"/>
        <v>426172855</v>
      </c>
      <c r="P39" s="616"/>
    </row>
    <row r="40" spans="1:16" x14ac:dyDescent="0.25">
      <c r="A40" s="28">
        <v>52000</v>
      </c>
      <c r="B40" s="32" t="s">
        <v>24</v>
      </c>
      <c r="C40" s="20">
        <v>4.8399999999999997E-3</v>
      </c>
      <c r="D40" s="4">
        <f t="shared" si="0"/>
        <v>86953318</v>
      </c>
      <c r="E40" s="4"/>
      <c r="F40" s="5">
        <f t="shared" si="1"/>
        <v>86953318</v>
      </c>
      <c r="G40" s="34">
        <f>'2a Výkonová část segment 1'!R7</f>
        <v>7.2019078111543802E-3</v>
      </c>
      <c r="H40" s="5">
        <f t="shared" si="2"/>
        <v>31124761</v>
      </c>
      <c r="I40" s="312"/>
      <c r="J40" s="4"/>
      <c r="K40" s="4"/>
      <c r="L40" s="5"/>
      <c r="M40" s="5"/>
      <c r="N40" s="19"/>
      <c r="O40" s="306">
        <f t="shared" si="3"/>
        <v>118078079</v>
      </c>
      <c r="P40" s="616"/>
    </row>
    <row r="41" spans="1:16" x14ac:dyDescent="0.25">
      <c r="A41" s="28">
        <v>53000</v>
      </c>
      <c r="B41" s="32" t="s">
        <v>25</v>
      </c>
      <c r="C41" s="20">
        <v>6.8000000000000005E-3</v>
      </c>
      <c r="D41" s="4">
        <f t="shared" si="0"/>
        <v>122165818</v>
      </c>
      <c r="E41" s="4"/>
      <c r="F41" s="5">
        <f t="shared" si="1"/>
        <v>122165818</v>
      </c>
      <c r="G41" s="34">
        <f>'2a Výkonová část segment 1'!R8</f>
        <v>1.3112573789736163E-2</v>
      </c>
      <c r="H41" s="5">
        <f t="shared" si="2"/>
        <v>56669113</v>
      </c>
      <c r="I41" s="312"/>
      <c r="J41" s="4"/>
      <c r="K41" s="4"/>
      <c r="L41" s="5"/>
      <c r="M41" s="5"/>
      <c r="N41" s="19"/>
      <c r="O41" s="306">
        <f t="shared" si="3"/>
        <v>178834931</v>
      </c>
      <c r="P41" s="616"/>
    </row>
    <row r="42" spans="1:16" x14ac:dyDescent="0.25">
      <c r="A42" s="28">
        <v>54000</v>
      </c>
      <c r="B42" s="32" t="s">
        <v>303</v>
      </c>
      <c r="C42" s="20">
        <v>1.064E-2</v>
      </c>
      <c r="D42" s="4">
        <f t="shared" si="0"/>
        <v>191153574</v>
      </c>
      <c r="E42" s="4"/>
      <c r="F42" s="5">
        <f t="shared" si="1"/>
        <v>191153574</v>
      </c>
      <c r="G42" s="34">
        <f>'2a Výkonová část segment 1'!R9</f>
        <v>1.0869996644195036E-2</v>
      </c>
      <c r="H42" s="5">
        <f t="shared" si="2"/>
        <v>46977281</v>
      </c>
      <c r="I42" s="312"/>
      <c r="J42" s="4"/>
      <c r="K42" s="4"/>
      <c r="L42" s="5"/>
      <c r="M42" s="5"/>
      <c r="N42" s="19"/>
      <c r="O42" s="306">
        <f t="shared" si="3"/>
        <v>238130855</v>
      </c>
      <c r="P42" s="616"/>
    </row>
    <row r="43" spans="1:16" x14ac:dyDescent="0.25">
      <c r="A43" s="28">
        <v>55000</v>
      </c>
      <c r="B43" s="32" t="s">
        <v>26</v>
      </c>
      <c r="C43" s="20">
        <v>5.8242555510266344E-3</v>
      </c>
      <c r="D43" s="4">
        <f t="shared" si="0"/>
        <v>104636021</v>
      </c>
      <c r="E43" s="4"/>
      <c r="F43" s="5">
        <f t="shared" si="1"/>
        <v>104636021</v>
      </c>
      <c r="G43" s="3">
        <f>'2b Výkonová část segment 2'!J6</f>
        <v>6.7658263735564305E-3</v>
      </c>
      <c r="H43" s="5">
        <f t="shared" si="2"/>
        <v>29240131</v>
      </c>
      <c r="I43" s="312"/>
      <c r="J43" s="4"/>
      <c r="K43" s="4"/>
      <c r="L43" s="5"/>
      <c r="M43" s="5"/>
      <c r="N43" s="19"/>
      <c r="O43" s="307">
        <f t="shared" si="3"/>
        <v>133876152</v>
      </c>
      <c r="P43" s="616"/>
    </row>
    <row r="44" spans="1:16" ht="15" customHeight="1" thickBot="1" x14ac:dyDescent="0.3">
      <c r="A44" s="35">
        <v>56000</v>
      </c>
      <c r="B44" s="36" t="s">
        <v>27</v>
      </c>
      <c r="C44" s="37">
        <v>8.1329114759375667E-3</v>
      </c>
      <c r="D44" s="6">
        <f t="shared" si="0"/>
        <v>146112321</v>
      </c>
      <c r="E44" s="6"/>
      <c r="F44" s="7">
        <f t="shared" si="1"/>
        <v>146112321</v>
      </c>
      <c r="G44" s="3">
        <f>'2b Výkonová část segment 2'!J7</f>
        <v>6.3892051289261677E-3</v>
      </c>
      <c r="H44" s="7">
        <f t="shared" si="2"/>
        <v>27612473</v>
      </c>
      <c r="I44" s="314"/>
      <c r="J44" s="6"/>
      <c r="K44" s="6"/>
      <c r="L44" s="7"/>
      <c r="M44" s="7"/>
      <c r="N44" s="21"/>
      <c r="O44" s="308">
        <f t="shared" si="3"/>
        <v>173724794</v>
      </c>
      <c r="P44" s="616"/>
    </row>
    <row r="45" spans="1:16" ht="15.75" thickBot="1" x14ac:dyDescent="0.3">
      <c r="A45" s="999" t="s">
        <v>28</v>
      </c>
      <c r="B45" s="1001"/>
      <c r="C45" s="23">
        <f t="shared" ref="C45:O45" si="4">SUM(C19:C44)</f>
        <v>0.99999999999999956</v>
      </c>
      <c r="D45" s="9">
        <f t="shared" si="4"/>
        <v>17965561474</v>
      </c>
      <c r="E45" s="9">
        <f t="shared" si="4"/>
        <v>0</v>
      </c>
      <c r="F45" s="10">
        <f t="shared" si="4"/>
        <v>17965561474</v>
      </c>
      <c r="G45" s="8">
        <f t="shared" si="4"/>
        <v>0.99999999999999989</v>
      </c>
      <c r="H45" s="10">
        <f t="shared" si="4"/>
        <v>4321738358</v>
      </c>
      <c r="I45" s="315">
        <f t="shared" si="4"/>
        <v>600000000</v>
      </c>
      <c r="J45" s="9">
        <f t="shared" si="4"/>
        <v>115000000</v>
      </c>
      <c r="K45" s="9">
        <f t="shared" si="4"/>
        <v>85000000</v>
      </c>
      <c r="L45" s="10">
        <f t="shared" si="4"/>
        <v>30000000.000000004</v>
      </c>
      <c r="M45" s="10"/>
      <c r="N45" s="22">
        <f t="shared" si="4"/>
        <v>6800000</v>
      </c>
      <c r="O45" s="313">
        <f t="shared" si="4"/>
        <v>23136099832</v>
      </c>
      <c r="P45" s="616"/>
    </row>
    <row r="46" spans="1:16" ht="18" x14ac:dyDescent="0.3">
      <c r="A46" s="24"/>
      <c r="B46" s="15"/>
      <c r="C46" s="15"/>
      <c r="D46" s="15"/>
      <c r="E46" s="15"/>
      <c r="F46" s="15"/>
      <c r="G46" s="15"/>
      <c r="H46" s="25"/>
      <c r="I46" s="15"/>
    </row>
    <row r="47" spans="1:16" x14ac:dyDescent="0.25">
      <c r="J47" s="11"/>
    </row>
    <row r="48" spans="1:16" x14ac:dyDescent="0.25">
      <c r="A48" s="618" t="s">
        <v>269</v>
      </c>
      <c r="D48" s="616"/>
      <c r="J48" s="11"/>
    </row>
    <row r="49" spans="4:10" x14ac:dyDescent="0.25">
      <c r="D49" s="616"/>
      <c r="J49" s="11"/>
    </row>
    <row r="50" spans="4:10" x14ac:dyDescent="0.25">
      <c r="D50" s="616"/>
      <c r="J50" s="11"/>
    </row>
    <row r="51" spans="4:10" x14ac:dyDescent="0.25">
      <c r="D51" s="616"/>
      <c r="J51" s="11"/>
    </row>
    <row r="52" spans="4:10" x14ac:dyDescent="0.25">
      <c r="D52" s="616"/>
      <c r="J52" s="11"/>
    </row>
    <row r="53" spans="4:10" x14ac:dyDescent="0.25">
      <c r="D53" s="616"/>
      <c r="J53" s="11"/>
    </row>
    <row r="54" spans="4:10" x14ac:dyDescent="0.25">
      <c r="D54" s="616"/>
      <c r="J54" s="11"/>
    </row>
    <row r="55" spans="4:10" x14ac:dyDescent="0.25">
      <c r="D55" s="616"/>
      <c r="J55" s="11"/>
    </row>
    <row r="56" spans="4:10" x14ac:dyDescent="0.25">
      <c r="D56" s="616"/>
      <c r="J56" s="11"/>
    </row>
    <row r="57" spans="4:10" x14ac:dyDescent="0.25">
      <c r="D57" s="616"/>
      <c r="J57" s="11"/>
    </row>
    <row r="58" spans="4:10" x14ac:dyDescent="0.25">
      <c r="D58" s="616"/>
      <c r="J58" s="11"/>
    </row>
    <row r="59" spans="4:10" x14ac:dyDescent="0.25">
      <c r="D59" s="616"/>
      <c r="J59" s="11"/>
    </row>
    <row r="60" spans="4:10" x14ac:dyDescent="0.25">
      <c r="D60" s="616"/>
      <c r="J60" s="11"/>
    </row>
    <row r="61" spans="4:10" x14ac:dyDescent="0.25">
      <c r="D61" s="616"/>
      <c r="J61" s="11"/>
    </row>
    <row r="62" spans="4:10" x14ac:dyDescent="0.25">
      <c r="D62" s="616"/>
      <c r="J62" s="11"/>
    </row>
    <row r="63" spans="4:10" x14ac:dyDescent="0.25">
      <c r="D63" s="616"/>
      <c r="J63" s="11"/>
    </row>
    <row r="64" spans="4:10" x14ac:dyDescent="0.25">
      <c r="D64" s="616"/>
      <c r="J64" s="11"/>
    </row>
    <row r="65" spans="4:10" x14ac:dyDescent="0.25">
      <c r="D65" s="616"/>
      <c r="J65" s="11"/>
    </row>
    <row r="66" spans="4:10" x14ac:dyDescent="0.25">
      <c r="D66" s="616"/>
      <c r="J66" s="11"/>
    </row>
    <row r="67" spans="4:10" x14ac:dyDescent="0.25">
      <c r="D67" s="616"/>
      <c r="J67" s="11"/>
    </row>
    <row r="68" spans="4:10" x14ac:dyDescent="0.25">
      <c r="D68" s="616"/>
      <c r="J68" s="11"/>
    </row>
    <row r="69" spans="4:10" x14ac:dyDescent="0.25">
      <c r="D69" s="616"/>
      <c r="J69" s="11"/>
    </row>
    <row r="70" spans="4:10" x14ac:dyDescent="0.25">
      <c r="D70" s="616"/>
      <c r="J70" s="11"/>
    </row>
    <row r="71" spans="4:10" x14ac:dyDescent="0.25">
      <c r="D71" s="616"/>
      <c r="J71" s="11"/>
    </row>
    <row r="72" spans="4:10" x14ac:dyDescent="0.25">
      <c r="D72" s="616"/>
      <c r="J72" s="11"/>
    </row>
    <row r="73" spans="4:10" x14ac:dyDescent="0.25">
      <c r="D73" s="616"/>
    </row>
    <row r="74" spans="4:10" x14ac:dyDescent="0.25">
      <c r="D74" s="616"/>
    </row>
  </sheetData>
  <mergeCells count="19">
    <mergeCell ref="M17:M18"/>
    <mergeCell ref="N17:N18"/>
    <mergeCell ref="L17:L18"/>
    <mergeCell ref="A45:B45"/>
    <mergeCell ref="C17:C18"/>
    <mergeCell ref="B16:B18"/>
    <mergeCell ref="A16:A18"/>
    <mergeCell ref="O16:O18"/>
    <mergeCell ref="J17:J18"/>
    <mergeCell ref="I17:I18"/>
    <mergeCell ref="E17:E18"/>
    <mergeCell ref="D17:D18"/>
    <mergeCell ref="C16:F16"/>
    <mergeCell ref="G16:H16"/>
    <mergeCell ref="H17:H18"/>
    <mergeCell ref="G17:G18"/>
    <mergeCell ref="F17:F18"/>
    <mergeCell ref="I16:N16"/>
    <mergeCell ref="K17:K18"/>
  </mergeCells>
  <hyperlinks>
    <hyperlink ref="A48" location="'0 Seznam'!A1" display="Seznam" xr:uid="{2DA5C60E-B7A3-486B-B3EF-A15D8A74DA0F}"/>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ignoredErrors>
    <ignoredError sqref="D35"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D39"/>
  <sheetViews>
    <sheetView zoomScale="85" zoomScaleNormal="85" workbookViewId="0">
      <selection activeCell="B2" sqref="B2"/>
    </sheetView>
  </sheetViews>
  <sheetFormatPr defaultRowHeight="15" x14ac:dyDescent="0.25"/>
  <cols>
    <col min="1" max="1" width="11.5703125" customWidth="1"/>
    <col min="2" max="2" width="63.7109375" customWidth="1"/>
    <col min="3" max="4" width="20.7109375" customWidth="1"/>
    <col min="8" max="8" width="17" customWidth="1"/>
    <col min="9" max="9" width="34" customWidth="1"/>
  </cols>
  <sheetData>
    <row r="1" spans="1:4" ht="27.75" x14ac:dyDescent="0.25">
      <c r="A1" s="1089" t="s">
        <v>96</v>
      </c>
      <c r="B1" s="1089"/>
      <c r="C1" s="1089"/>
      <c r="D1" s="1089"/>
    </row>
    <row r="2" spans="1:4" ht="19.5" x14ac:dyDescent="0.25">
      <c r="A2" s="249"/>
      <c r="B2" s="249"/>
      <c r="C2" s="249"/>
      <c r="D2" s="249"/>
    </row>
    <row r="3" spans="1:4" ht="20.25" x14ac:dyDescent="0.25">
      <c r="A3" s="250" t="s">
        <v>331</v>
      </c>
      <c r="B3" s="249"/>
      <c r="C3" s="249"/>
      <c r="D3" s="249"/>
    </row>
    <row r="4" spans="1:4" ht="26.25" x14ac:dyDescent="0.25">
      <c r="A4" s="251"/>
      <c r="B4" s="251"/>
      <c r="C4" s="251"/>
      <c r="D4" s="251"/>
    </row>
    <row r="5" spans="1:4" x14ac:dyDescent="0.25">
      <c r="A5" s="252"/>
      <c r="B5" s="253" t="s">
        <v>97</v>
      </c>
      <c r="C5" s="254">
        <v>13500</v>
      </c>
      <c r="D5" s="255" t="s">
        <v>98</v>
      </c>
    </row>
    <row r="6" spans="1:4" x14ac:dyDescent="0.25">
      <c r="A6" s="256"/>
      <c r="B6" s="253" t="s">
        <v>99</v>
      </c>
      <c r="C6" s="254">
        <v>135000</v>
      </c>
      <c r="D6" s="255" t="s">
        <v>100</v>
      </c>
    </row>
    <row r="7" spans="1:4" x14ac:dyDescent="0.25">
      <c r="A7" s="256"/>
      <c r="B7" s="257"/>
      <c r="C7" s="258"/>
      <c r="D7" s="258"/>
    </row>
    <row r="8" spans="1:4" ht="15.75" thickBot="1" x14ac:dyDescent="0.3">
      <c r="A8" s="259"/>
      <c r="B8" s="259"/>
      <c r="C8" s="259"/>
      <c r="D8" s="260" t="s">
        <v>0</v>
      </c>
    </row>
    <row r="9" spans="1:4" ht="45.75" thickBot="1" x14ac:dyDescent="0.3">
      <c r="A9" s="261" t="s">
        <v>2</v>
      </c>
      <c r="B9" s="262" t="s">
        <v>3</v>
      </c>
      <c r="C9" s="263" t="s">
        <v>270</v>
      </c>
      <c r="D9" s="264" t="s">
        <v>101</v>
      </c>
    </row>
    <row r="10" spans="1:4" x14ac:dyDescent="0.25">
      <c r="A10" s="265">
        <v>11000</v>
      </c>
      <c r="B10" s="266" t="s">
        <v>4</v>
      </c>
      <c r="C10" s="267">
        <v>3824</v>
      </c>
      <c r="D10" s="268">
        <f>C10*$C$6</f>
        <v>516240000</v>
      </c>
    </row>
    <row r="11" spans="1:4" x14ac:dyDescent="0.25">
      <c r="A11" s="265">
        <v>12000</v>
      </c>
      <c r="B11" s="266" t="s">
        <v>5</v>
      </c>
      <c r="C11" s="267">
        <v>377</v>
      </c>
      <c r="D11" s="269">
        <f t="shared" ref="D11:D35" si="0">C11*$C$6</f>
        <v>50895000</v>
      </c>
    </row>
    <row r="12" spans="1:4" x14ac:dyDescent="0.25">
      <c r="A12" s="265">
        <v>13000</v>
      </c>
      <c r="B12" s="266" t="s">
        <v>6</v>
      </c>
      <c r="C12" s="267">
        <v>141</v>
      </c>
      <c r="D12" s="269">
        <f t="shared" si="0"/>
        <v>19035000</v>
      </c>
    </row>
    <row r="13" spans="1:4" x14ac:dyDescent="0.25">
      <c r="A13" s="265">
        <v>14000</v>
      </c>
      <c r="B13" s="266" t="s">
        <v>7</v>
      </c>
      <c r="C13" s="267">
        <v>1672</v>
      </c>
      <c r="D13" s="269">
        <f t="shared" si="0"/>
        <v>225720000</v>
      </c>
    </row>
    <row r="14" spans="1:4" x14ac:dyDescent="0.25">
      <c r="A14" s="265">
        <v>15000</v>
      </c>
      <c r="B14" s="266" t="s">
        <v>8</v>
      </c>
      <c r="C14" s="267">
        <v>852</v>
      </c>
      <c r="D14" s="269">
        <f t="shared" si="0"/>
        <v>115020000</v>
      </c>
    </row>
    <row r="15" spans="1:4" x14ac:dyDescent="0.25">
      <c r="A15" s="265">
        <v>16000</v>
      </c>
      <c r="B15" s="266" t="s">
        <v>296</v>
      </c>
      <c r="C15" s="267">
        <v>80</v>
      </c>
      <c r="D15" s="269">
        <f t="shared" si="0"/>
        <v>10800000</v>
      </c>
    </row>
    <row r="16" spans="1:4" x14ac:dyDescent="0.25">
      <c r="A16" s="265">
        <v>17000</v>
      </c>
      <c r="B16" s="266" t="s">
        <v>9</v>
      </c>
      <c r="C16" s="267">
        <v>195</v>
      </c>
      <c r="D16" s="269">
        <f t="shared" si="0"/>
        <v>26325000</v>
      </c>
    </row>
    <row r="17" spans="1:4" x14ac:dyDescent="0.25">
      <c r="A17" s="265">
        <v>18000</v>
      </c>
      <c r="B17" s="266" t="s">
        <v>10</v>
      </c>
      <c r="C17" s="267">
        <v>104</v>
      </c>
      <c r="D17" s="269">
        <f t="shared" si="0"/>
        <v>14040000</v>
      </c>
    </row>
    <row r="18" spans="1:4" x14ac:dyDescent="0.25">
      <c r="A18" s="265">
        <v>19000</v>
      </c>
      <c r="B18" s="266" t="s">
        <v>11</v>
      </c>
      <c r="C18" s="267">
        <v>34</v>
      </c>
      <c r="D18" s="269">
        <f t="shared" si="0"/>
        <v>4590000</v>
      </c>
    </row>
    <row r="19" spans="1:4" x14ac:dyDescent="0.25">
      <c r="A19" s="265">
        <v>21000</v>
      </c>
      <c r="B19" s="266" t="s">
        <v>12</v>
      </c>
      <c r="C19" s="267">
        <v>1031</v>
      </c>
      <c r="D19" s="269">
        <f t="shared" si="0"/>
        <v>139185000</v>
      </c>
    </row>
    <row r="20" spans="1:4" x14ac:dyDescent="0.25">
      <c r="A20" s="265">
        <v>22000</v>
      </c>
      <c r="B20" s="266" t="s">
        <v>13</v>
      </c>
      <c r="C20" s="267">
        <v>600</v>
      </c>
      <c r="D20" s="269">
        <f t="shared" si="0"/>
        <v>81000000</v>
      </c>
    </row>
    <row r="21" spans="1:4" x14ac:dyDescent="0.25">
      <c r="A21" s="265">
        <v>23000</v>
      </c>
      <c r="B21" s="266" t="s">
        <v>14</v>
      </c>
      <c r="C21" s="267">
        <v>324</v>
      </c>
      <c r="D21" s="269">
        <f t="shared" si="0"/>
        <v>43740000</v>
      </c>
    </row>
    <row r="22" spans="1:4" x14ac:dyDescent="0.25">
      <c r="A22" s="265">
        <v>24000</v>
      </c>
      <c r="B22" s="266" t="s">
        <v>15</v>
      </c>
      <c r="C22" s="267">
        <v>144</v>
      </c>
      <c r="D22" s="269">
        <f t="shared" si="0"/>
        <v>19440000</v>
      </c>
    </row>
    <row r="23" spans="1:4" x14ac:dyDescent="0.25">
      <c r="A23" s="265">
        <v>25000</v>
      </c>
      <c r="B23" s="266" t="s">
        <v>16</v>
      </c>
      <c r="C23" s="267">
        <v>203</v>
      </c>
      <c r="D23" s="269">
        <f t="shared" si="0"/>
        <v>27405000</v>
      </c>
    </row>
    <row r="24" spans="1:4" x14ac:dyDescent="0.25">
      <c r="A24" s="265">
        <v>26000</v>
      </c>
      <c r="B24" s="266" t="s">
        <v>17</v>
      </c>
      <c r="C24" s="267">
        <v>919</v>
      </c>
      <c r="D24" s="269">
        <f t="shared" si="0"/>
        <v>124065000</v>
      </c>
    </row>
    <row r="25" spans="1:4" x14ac:dyDescent="0.25">
      <c r="A25" s="265">
        <v>27000</v>
      </c>
      <c r="B25" s="266" t="s">
        <v>18</v>
      </c>
      <c r="C25" s="267">
        <v>464</v>
      </c>
      <c r="D25" s="269">
        <f t="shared" si="0"/>
        <v>62640000</v>
      </c>
    </row>
    <row r="26" spans="1:4" x14ac:dyDescent="0.25">
      <c r="A26" s="265">
        <v>28000</v>
      </c>
      <c r="B26" s="266" t="s">
        <v>19</v>
      </c>
      <c r="C26" s="267">
        <v>170</v>
      </c>
      <c r="D26" s="269">
        <f t="shared" si="0"/>
        <v>22950000</v>
      </c>
    </row>
    <row r="27" spans="1:4" x14ac:dyDescent="0.25">
      <c r="A27" s="265">
        <v>31000</v>
      </c>
      <c r="B27" s="266" t="s">
        <v>20</v>
      </c>
      <c r="C27" s="267">
        <v>184</v>
      </c>
      <c r="D27" s="269">
        <f t="shared" si="0"/>
        <v>24840000</v>
      </c>
    </row>
    <row r="28" spans="1:4" x14ac:dyDescent="0.25">
      <c r="A28" s="265">
        <v>41000</v>
      </c>
      <c r="B28" s="266" t="s">
        <v>21</v>
      </c>
      <c r="C28" s="267">
        <v>640</v>
      </c>
      <c r="D28" s="269">
        <f t="shared" si="0"/>
        <v>86400000</v>
      </c>
    </row>
    <row r="29" spans="1:4" x14ac:dyDescent="0.25">
      <c r="A29" s="265">
        <v>43000</v>
      </c>
      <c r="B29" s="266" t="s">
        <v>22</v>
      </c>
      <c r="C29" s="267">
        <v>301</v>
      </c>
      <c r="D29" s="269">
        <f t="shared" si="0"/>
        <v>40635000</v>
      </c>
    </row>
    <row r="30" spans="1:4" x14ac:dyDescent="0.25">
      <c r="A30" s="265">
        <v>51000</v>
      </c>
      <c r="B30" s="266" t="s">
        <v>23</v>
      </c>
      <c r="C30" s="267">
        <v>74</v>
      </c>
      <c r="D30" s="269">
        <f t="shared" si="0"/>
        <v>9990000</v>
      </c>
    </row>
    <row r="31" spans="1:4" x14ac:dyDescent="0.25">
      <c r="A31" s="265">
        <v>52000</v>
      </c>
      <c r="B31" s="266" t="s">
        <v>24</v>
      </c>
      <c r="C31" s="267">
        <v>25</v>
      </c>
      <c r="D31" s="269">
        <f t="shared" si="0"/>
        <v>3375000</v>
      </c>
    </row>
    <row r="32" spans="1:4" x14ac:dyDescent="0.25">
      <c r="A32" s="265">
        <v>53000</v>
      </c>
      <c r="B32" s="266" t="s">
        <v>25</v>
      </c>
      <c r="C32" s="267">
        <v>31</v>
      </c>
      <c r="D32" s="269">
        <f t="shared" si="0"/>
        <v>4185000</v>
      </c>
    </row>
    <row r="33" spans="1:4" x14ac:dyDescent="0.25">
      <c r="A33" s="265">
        <v>54000</v>
      </c>
      <c r="B33" s="266" t="s">
        <v>303</v>
      </c>
      <c r="C33" s="267">
        <v>46</v>
      </c>
      <c r="D33" s="269">
        <f t="shared" si="0"/>
        <v>6210000</v>
      </c>
    </row>
    <row r="34" spans="1:4" x14ac:dyDescent="0.25">
      <c r="A34" s="265">
        <v>55000</v>
      </c>
      <c r="B34" s="266" t="s">
        <v>26</v>
      </c>
      <c r="C34" s="267">
        <v>0</v>
      </c>
      <c r="D34" s="269">
        <f t="shared" si="0"/>
        <v>0</v>
      </c>
    </row>
    <row r="35" spans="1:4" ht="15.75" thickBot="1" x14ac:dyDescent="0.3">
      <c r="A35" s="270">
        <v>56000</v>
      </c>
      <c r="B35" s="271" t="s">
        <v>27</v>
      </c>
      <c r="C35" s="272">
        <v>0</v>
      </c>
      <c r="D35" s="273">
        <f t="shared" si="0"/>
        <v>0</v>
      </c>
    </row>
    <row r="36" spans="1:4" ht="15.75" thickBot="1" x14ac:dyDescent="0.3">
      <c r="A36" s="274"/>
      <c r="B36" s="275" t="s">
        <v>28</v>
      </c>
      <c r="C36" s="276">
        <f>SUM(C10:C35)</f>
        <v>12435</v>
      </c>
      <c r="D36" s="277">
        <f>SUM(D10:D35)</f>
        <v>1678725000</v>
      </c>
    </row>
    <row r="37" spans="1:4" x14ac:dyDescent="0.25">
      <c r="A37" s="278" t="s">
        <v>332</v>
      </c>
      <c r="B37" s="279"/>
      <c r="C37" s="279"/>
      <c r="D37" s="279"/>
    </row>
    <row r="39" spans="1:4" x14ac:dyDescent="0.25">
      <c r="A39" s="618" t="s">
        <v>269</v>
      </c>
    </row>
  </sheetData>
  <mergeCells count="1">
    <mergeCell ref="A1:D1"/>
  </mergeCells>
  <hyperlinks>
    <hyperlink ref="A39" location="'0 Seznam'!A1" display="Seznam" xr:uid="{AAF16864-1CF8-4CF3-AAA7-7731BF62D60A}"/>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M42"/>
  <sheetViews>
    <sheetView zoomScale="85" zoomScaleNormal="85" workbookViewId="0">
      <selection activeCell="B2" sqref="B2"/>
    </sheetView>
  </sheetViews>
  <sheetFormatPr defaultRowHeight="15" x14ac:dyDescent="0.25"/>
  <cols>
    <col min="1" max="1" width="10.140625" customWidth="1"/>
    <col min="2" max="2" width="61.140625" customWidth="1"/>
    <col min="3" max="7" width="16.7109375" customWidth="1"/>
  </cols>
  <sheetData>
    <row r="1" spans="1:7" ht="27.75" x14ac:dyDescent="0.25">
      <c r="A1" s="361" t="s">
        <v>132</v>
      </c>
    </row>
    <row r="2" spans="1:7" x14ac:dyDescent="0.25">
      <c r="A2" s="362"/>
    </row>
    <row r="3" spans="1:7" ht="20.25" x14ac:dyDescent="0.25">
      <c r="A3" s="363" t="s">
        <v>333</v>
      </c>
    </row>
    <row r="4" spans="1:7" ht="15.75" thickBot="1" x14ac:dyDescent="0.3"/>
    <row r="5" spans="1:7" x14ac:dyDescent="0.25">
      <c r="A5" s="1090" t="s">
        <v>2</v>
      </c>
      <c r="B5" s="1092" t="s">
        <v>3</v>
      </c>
      <c r="C5" s="364" t="s">
        <v>133</v>
      </c>
      <c r="D5" s="364"/>
      <c r="E5" s="364"/>
      <c r="F5" s="365"/>
      <c r="G5" s="1092" t="s">
        <v>278</v>
      </c>
    </row>
    <row r="6" spans="1:7" ht="26.25" thickBot="1" x14ac:dyDescent="0.3">
      <c r="A6" s="1091"/>
      <c r="B6" s="1093"/>
      <c r="C6" s="366" t="s">
        <v>134</v>
      </c>
      <c r="D6" s="367" t="s">
        <v>135</v>
      </c>
      <c r="E6" s="367" t="s">
        <v>136</v>
      </c>
      <c r="F6" s="367" t="s">
        <v>137</v>
      </c>
      <c r="G6" s="1093"/>
    </row>
    <row r="7" spans="1:7" x14ac:dyDescent="0.25">
      <c r="A7" s="368">
        <v>11000</v>
      </c>
      <c r="B7" s="369" t="s">
        <v>4</v>
      </c>
      <c r="C7" s="370">
        <v>520415</v>
      </c>
      <c r="D7" s="371">
        <v>40229</v>
      </c>
      <c r="E7" s="371">
        <v>16091.6</v>
      </c>
      <c r="F7" s="371">
        <f>C7+E7</f>
        <v>536506.6</v>
      </c>
      <c r="G7" s="372">
        <f>ROUND(F7*G$35,-3)</f>
        <v>9630000</v>
      </c>
    </row>
    <row r="8" spans="1:7" x14ac:dyDescent="0.25">
      <c r="A8" s="373">
        <v>12000</v>
      </c>
      <c r="B8" s="374" t="s">
        <v>5</v>
      </c>
      <c r="C8" s="370">
        <v>150494</v>
      </c>
      <c r="D8" s="371">
        <v>3974</v>
      </c>
      <c r="E8" s="371">
        <v>1589.6000000000001</v>
      </c>
      <c r="F8" s="371">
        <f>C8+E8</f>
        <v>152083.6</v>
      </c>
      <c r="G8" s="372">
        <f t="shared" ref="G8:G32" si="0">ROUND(F8*G$35,-3)</f>
        <v>2730000</v>
      </c>
    </row>
    <row r="9" spans="1:7" x14ac:dyDescent="0.25">
      <c r="A9" s="373">
        <v>13000</v>
      </c>
      <c r="B9" s="374" t="s">
        <v>6</v>
      </c>
      <c r="C9" s="370">
        <v>13029</v>
      </c>
      <c r="D9" s="371">
        <v>984</v>
      </c>
      <c r="E9" s="371">
        <v>393.6</v>
      </c>
      <c r="F9" s="371">
        <f t="shared" ref="F9:F32" si="1">C9+E9</f>
        <v>13422.6</v>
      </c>
      <c r="G9" s="372">
        <f t="shared" si="0"/>
        <v>241000</v>
      </c>
    </row>
    <row r="10" spans="1:7" x14ac:dyDescent="0.25">
      <c r="A10" s="373">
        <v>14000</v>
      </c>
      <c r="B10" s="374" t="s">
        <v>7</v>
      </c>
      <c r="C10" s="370">
        <v>226291</v>
      </c>
      <c r="D10" s="371">
        <v>726</v>
      </c>
      <c r="E10" s="371">
        <v>290.40000000000003</v>
      </c>
      <c r="F10" s="371">
        <f t="shared" si="1"/>
        <v>226581.4</v>
      </c>
      <c r="G10" s="372">
        <f t="shared" si="0"/>
        <v>4067000</v>
      </c>
    </row>
    <row r="11" spans="1:7" x14ac:dyDescent="0.25">
      <c r="A11" s="373">
        <v>15000</v>
      </c>
      <c r="B11" s="374" t="s">
        <v>8</v>
      </c>
      <c r="C11" s="370">
        <v>403422</v>
      </c>
      <c r="D11" s="371">
        <v>68932</v>
      </c>
      <c r="E11" s="371">
        <v>27572.800000000003</v>
      </c>
      <c r="F11" s="371">
        <f t="shared" si="1"/>
        <v>430994.8</v>
      </c>
      <c r="G11" s="372">
        <f t="shared" si="0"/>
        <v>7736000</v>
      </c>
    </row>
    <row r="12" spans="1:7" x14ac:dyDescent="0.25">
      <c r="A12" s="373">
        <v>16000</v>
      </c>
      <c r="B12" s="374" t="s">
        <v>296</v>
      </c>
      <c r="C12" s="370">
        <v>0</v>
      </c>
      <c r="D12" s="371">
        <v>0</v>
      </c>
      <c r="E12" s="371">
        <v>0</v>
      </c>
      <c r="F12" s="371">
        <f t="shared" si="1"/>
        <v>0</v>
      </c>
      <c r="G12" s="372">
        <f t="shared" si="0"/>
        <v>0</v>
      </c>
    </row>
    <row r="13" spans="1:7" x14ac:dyDescent="0.25">
      <c r="A13" s="373">
        <v>17000</v>
      </c>
      <c r="B13" s="374" t="s">
        <v>9</v>
      </c>
      <c r="C13" s="370">
        <v>7608</v>
      </c>
      <c r="D13" s="371">
        <v>0</v>
      </c>
      <c r="E13" s="371">
        <v>0</v>
      </c>
      <c r="F13" s="371">
        <f t="shared" si="1"/>
        <v>7608</v>
      </c>
      <c r="G13" s="372">
        <f t="shared" si="0"/>
        <v>137000</v>
      </c>
    </row>
    <row r="14" spans="1:7" x14ac:dyDescent="0.25">
      <c r="A14" s="373">
        <v>18000</v>
      </c>
      <c r="B14" s="374" t="s">
        <v>10</v>
      </c>
      <c r="C14" s="370">
        <v>24370</v>
      </c>
      <c r="D14" s="371">
        <v>0</v>
      </c>
      <c r="E14" s="371">
        <v>0</v>
      </c>
      <c r="F14" s="371">
        <f t="shared" si="1"/>
        <v>24370</v>
      </c>
      <c r="G14" s="372">
        <f t="shared" si="0"/>
        <v>437000</v>
      </c>
    </row>
    <row r="15" spans="1:7" x14ac:dyDescent="0.25">
      <c r="A15" s="373">
        <v>19000</v>
      </c>
      <c r="B15" s="374" t="s">
        <v>11</v>
      </c>
      <c r="C15" s="370">
        <v>74107</v>
      </c>
      <c r="D15" s="371">
        <v>2616</v>
      </c>
      <c r="E15" s="371">
        <v>1046.4000000000001</v>
      </c>
      <c r="F15" s="371">
        <f t="shared" si="1"/>
        <v>75153.399999999994</v>
      </c>
      <c r="G15" s="372">
        <f t="shared" si="0"/>
        <v>1349000</v>
      </c>
    </row>
    <row r="16" spans="1:7" x14ac:dyDescent="0.25">
      <c r="A16" s="373">
        <v>21000</v>
      </c>
      <c r="B16" s="374" t="s">
        <v>12</v>
      </c>
      <c r="C16" s="370">
        <v>670206</v>
      </c>
      <c r="D16" s="371">
        <v>42517</v>
      </c>
      <c r="E16" s="371">
        <v>17006.8</v>
      </c>
      <c r="F16" s="371">
        <f t="shared" si="1"/>
        <v>687212.8</v>
      </c>
      <c r="G16" s="372">
        <f t="shared" si="0"/>
        <v>12335000</v>
      </c>
    </row>
    <row r="17" spans="1:13" x14ac:dyDescent="0.25">
      <c r="A17" s="373">
        <v>22000</v>
      </c>
      <c r="B17" s="374" t="s">
        <v>13</v>
      </c>
      <c r="C17" s="370">
        <v>38381</v>
      </c>
      <c r="D17" s="371">
        <v>2551</v>
      </c>
      <c r="E17" s="371">
        <v>1020.4000000000001</v>
      </c>
      <c r="F17" s="371">
        <f t="shared" si="1"/>
        <v>39401.4</v>
      </c>
      <c r="G17" s="372">
        <f t="shared" si="0"/>
        <v>707000</v>
      </c>
    </row>
    <row r="18" spans="1:13" x14ac:dyDescent="0.25">
      <c r="A18" s="373">
        <v>23000</v>
      </c>
      <c r="B18" s="374" t="s">
        <v>14</v>
      </c>
      <c r="C18" s="370">
        <v>186671</v>
      </c>
      <c r="D18" s="371">
        <v>9527</v>
      </c>
      <c r="E18" s="371">
        <v>3810.8</v>
      </c>
      <c r="F18" s="371">
        <f t="shared" si="1"/>
        <v>190481.8</v>
      </c>
      <c r="G18" s="372">
        <f t="shared" si="0"/>
        <v>3419000</v>
      </c>
      <c r="M18" s="11"/>
    </row>
    <row r="19" spans="1:13" x14ac:dyDescent="0.25">
      <c r="A19" s="373">
        <v>24000</v>
      </c>
      <c r="B19" s="374" t="s">
        <v>15</v>
      </c>
      <c r="C19" s="370">
        <v>167814</v>
      </c>
      <c r="D19" s="371">
        <v>16572</v>
      </c>
      <c r="E19" s="371">
        <v>6628.8</v>
      </c>
      <c r="F19" s="371">
        <f t="shared" si="1"/>
        <v>174442.8</v>
      </c>
      <c r="G19" s="372">
        <f t="shared" si="0"/>
        <v>3131000</v>
      </c>
    </row>
    <row r="20" spans="1:13" x14ac:dyDescent="0.25">
      <c r="A20" s="373">
        <v>25000</v>
      </c>
      <c r="B20" s="374" t="s">
        <v>16</v>
      </c>
      <c r="C20" s="370">
        <v>85470</v>
      </c>
      <c r="D20" s="371">
        <v>749</v>
      </c>
      <c r="E20" s="371">
        <v>299.60000000000002</v>
      </c>
      <c r="F20" s="371">
        <f t="shared" si="1"/>
        <v>85769.600000000006</v>
      </c>
      <c r="G20" s="372">
        <f t="shared" si="0"/>
        <v>1540000</v>
      </c>
    </row>
    <row r="21" spans="1:13" x14ac:dyDescent="0.25">
      <c r="A21" s="373">
        <v>26000</v>
      </c>
      <c r="B21" s="374" t="s">
        <v>17</v>
      </c>
      <c r="C21" s="370">
        <v>617995</v>
      </c>
      <c r="D21" s="371">
        <v>19542</v>
      </c>
      <c r="E21" s="371">
        <v>7816.8</v>
      </c>
      <c r="F21" s="371">
        <f t="shared" si="1"/>
        <v>625811.80000000005</v>
      </c>
      <c r="G21" s="372">
        <f t="shared" si="0"/>
        <v>11233000</v>
      </c>
    </row>
    <row r="22" spans="1:13" x14ac:dyDescent="0.25">
      <c r="A22" s="373">
        <v>27000</v>
      </c>
      <c r="B22" s="374" t="s">
        <v>18</v>
      </c>
      <c r="C22" s="370">
        <v>130294</v>
      </c>
      <c r="D22" s="371">
        <v>34929</v>
      </c>
      <c r="E22" s="371">
        <v>13971.6</v>
      </c>
      <c r="F22" s="371">
        <f t="shared" si="1"/>
        <v>144265.60000000001</v>
      </c>
      <c r="G22" s="372">
        <f t="shared" si="0"/>
        <v>2590000</v>
      </c>
    </row>
    <row r="23" spans="1:13" x14ac:dyDescent="0.25">
      <c r="A23" s="373">
        <v>28000</v>
      </c>
      <c r="B23" s="374" t="s">
        <v>19</v>
      </c>
      <c r="C23" s="370">
        <v>119897</v>
      </c>
      <c r="D23" s="371">
        <v>7341</v>
      </c>
      <c r="E23" s="371">
        <v>2936.4</v>
      </c>
      <c r="F23" s="371">
        <f t="shared" si="1"/>
        <v>122833.4</v>
      </c>
      <c r="G23" s="372">
        <f t="shared" si="0"/>
        <v>2205000</v>
      </c>
    </row>
    <row r="24" spans="1:13" x14ac:dyDescent="0.25">
      <c r="A24" s="373">
        <v>31000</v>
      </c>
      <c r="B24" s="374" t="s">
        <v>20</v>
      </c>
      <c r="C24" s="370">
        <v>164389</v>
      </c>
      <c r="D24" s="371">
        <v>1977</v>
      </c>
      <c r="E24" s="371">
        <v>790.80000000000007</v>
      </c>
      <c r="F24" s="371">
        <f t="shared" si="1"/>
        <v>165179.79999999999</v>
      </c>
      <c r="G24" s="372">
        <f t="shared" si="0"/>
        <v>2965000</v>
      </c>
    </row>
    <row r="25" spans="1:13" x14ac:dyDescent="0.25">
      <c r="A25" s="373">
        <v>41000</v>
      </c>
      <c r="B25" s="374" t="s">
        <v>21</v>
      </c>
      <c r="C25" s="370">
        <v>180968</v>
      </c>
      <c r="D25" s="371">
        <v>948</v>
      </c>
      <c r="E25" s="371">
        <v>379.20000000000005</v>
      </c>
      <c r="F25" s="371">
        <f>C25+E25</f>
        <v>181347.20000000001</v>
      </c>
      <c r="G25" s="372">
        <f t="shared" si="0"/>
        <v>3255000</v>
      </c>
    </row>
    <row r="26" spans="1:13" x14ac:dyDescent="0.25">
      <c r="A26" s="373">
        <v>43000</v>
      </c>
      <c r="B26" s="374" t="s">
        <v>22</v>
      </c>
      <c r="C26" s="370">
        <v>161950</v>
      </c>
      <c r="D26" s="371">
        <v>9448</v>
      </c>
      <c r="E26" s="371">
        <v>3779.2000000000003</v>
      </c>
      <c r="F26" s="371">
        <f t="shared" si="1"/>
        <v>165729.20000000001</v>
      </c>
      <c r="G26" s="372">
        <f t="shared" si="0"/>
        <v>2975000</v>
      </c>
    </row>
    <row r="27" spans="1:13" x14ac:dyDescent="0.25">
      <c r="A27" s="373">
        <v>51000</v>
      </c>
      <c r="B27" s="374" t="s">
        <v>23</v>
      </c>
      <c r="C27" s="370">
        <v>32000</v>
      </c>
      <c r="D27" s="371">
        <v>6000</v>
      </c>
      <c r="E27" s="371">
        <v>2400</v>
      </c>
      <c r="F27" s="371">
        <f t="shared" si="1"/>
        <v>34400</v>
      </c>
      <c r="G27" s="372">
        <f t="shared" si="0"/>
        <v>617000</v>
      </c>
    </row>
    <row r="28" spans="1:13" x14ac:dyDescent="0.25">
      <c r="A28" s="373">
        <v>52000</v>
      </c>
      <c r="B28" s="374" t="s">
        <v>24</v>
      </c>
      <c r="C28" s="370">
        <v>8145</v>
      </c>
      <c r="D28" s="371">
        <v>0</v>
      </c>
      <c r="E28" s="371">
        <v>0</v>
      </c>
      <c r="F28" s="371">
        <f t="shared" si="1"/>
        <v>8145</v>
      </c>
      <c r="G28" s="372">
        <f t="shared" si="0"/>
        <v>146000</v>
      </c>
    </row>
    <row r="29" spans="1:13" x14ac:dyDescent="0.25">
      <c r="A29" s="373">
        <v>53000</v>
      </c>
      <c r="B29" s="374" t="s">
        <v>25</v>
      </c>
      <c r="C29" s="370">
        <v>0</v>
      </c>
      <c r="D29" s="371">
        <v>0</v>
      </c>
      <c r="E29" s="371">
        <v>0</v>
      </c>
      <c r="F29" s="371">
        <f t="shared" si="1"/>
        <v>0</v>
      </c>
      <c r="G29" s="372">
        <f t="shared" si="0"/>
        <v>0</v>
      </c>
    </row>
    <row r="30" spans="1:13" x14ac:dyDescent="0.25">
      <c r="A30" s="373">
        <v>54000</v>
      </c>
      <c r="B30" s="374" t="s">
        <v>303</v>
      </c>
      <c r="C30" s="370">
        <v>0</v>
      </c>
      <c r="D30" s="371">
        <v>0</v>
      </c>
      <c r="E30" s="371">
        <v>0</v>
      </c>
      <c r="F30" s="371">
        <f t="shared" si="1"/>
        <v>0</v>
      </c>
      <c r="G30" s="372">
        <f t="shared" si="0"/>
        <v>0</v>
      </c>
    </row>
    <row r="31" spans="1:13" x14ac:dyDescent="0.25">
      <c r="A31" s="373">
        <v>55000</v>
      </c>
      <c r="B31" s="374" t="s">
        <v>26</v>
      </c>
      <c r="C31" s="370">
        <v>16599</v>
      </c>
      <c r="D31" s="371">
        <v>0</v>
      </c>
      <c r="E31" s="371">
        <v>0</v>
      </c>
      <c r="F31" s="371">
        <f t="shared" si="1"/>
        <v>16599</v>
      </c>
      <c r="G31" s="372">
        <f t="shared" si="0"/>
        <v>298000</v>
      </c>
    </row>
    <row r="32" spans="1:13" ht="15.75" thickBot="1" x14ac:dyDescent="0.3">
      <c r="A32" s="375">
        <v>56000</v>
      </c>
      <c r="B32" s="376" t="s">
        <v>27</v>
      </c>
      <c r="C32" s="377">
        <v>11450</v>
      </c>
      <c r="D32" s="378">
        <v>1679</v>
      </c>
      <c r="E32" s="378">
        <v>671.6</v>
      </c>
      <c r="F32" s="378">
        <f t="shared" si="1"/>
        <v>12121.6</v>
      </c>
      <c r="G32" s="372">
        <f t="shared" si="0"/>
        <v>218000</v>
      </c>
    </row>
    <row r="33" spans="1:7" ht="15.75" thickBot="1" x14ac:dyDescent="0.3">
      <c r="A33" s="379"/>
      <c r="B33" s="380" t="s">
        <v>28</v>
      </c>
      <c r="C33" s="381">
        <f t="shared" ref="C33:F33" si="2">SUM(C7:C32)</f>
        <v>4011965</v>
      </c>
      <c r="D33" s="382">
        <f t="shared" si="2"/>
        <v>271241</v>
      </c>
      <c r="E33" s="382">
        <f t="shared" si="2"/>
        <v>108496.40000000001</v>
      </c>
      <c r="F33" s="382">
        <f t="shared" si="2"/>
        <v>4120461.4</v>
      </c>
      <c r="G33" s="383">
        <f>SUM(G7:G32)</f>
        <v>73961000</v>
      </c>
    </row>
    <row r="34" spans="1:7" x14ac:dyDescent="0.25">
      <c r="A34" s="384"/>
      <c r="B34" s="384"/>
      <c r="C34" s="384"/>
      <c r="D34" s="384"/>
      <c r="E34" s="384"/>
      <c r="F34" s="384"/>
      <c r="G34" s="384"/>
    </row>
    <row r="35" spans="1:7" x14ac:dyDescent="0.25">
      <c r="A35" s="385" t="s">
        <v>138</v>
      </c>
      <c r="B35" s="385"/>
      <c r="C35" s="386"/>
      <c r="D35" s="387"/>
      <c r="E35" s="387"/>
      <c r="F35" s="388"/>
      <c r="G35" s="389">
        <v>17.95</v>
      </c>
    </row>
    <row r="36" spans="1:7" x14ac:dyDescent="0.25">
      <c r="A36" s="390" t="s">
        <v>271</v>
      </c>
      <c r="B36" s="390"/>
      <c r="C36" s="391"/>
      <c r="D36" s="392"/>
      <c r="E36" s="392"/>
      <c r="F36" s="393"/>
      <c r="G36" s="370">
        <f>+G33</f>
        <v>73961000</v>
      </c>
    </row>
    <row r="37" spans="1:7" x14ac:dyDescent="0.25">
      <c r="A37" s="385" t="s">
        <v>334</v>
      </c>
      <c r="B37" s="385"/>
      <c r="C37" s="386"/>
      <c r="D37" s="387"/>
      <c r="E37" s="387"/>
      <c r="F37" s="388"/>
      <c r="G37" s="394">
        <f>'1 Bilance'!O23</f>
        <v>120000000</v>
      </c>
    </row>
    <row r="38" spans="1:7" x14ac:dyDescent="0.25">
      <c r="A38" s="390" t="s">
        <v>139</v>
      </c>
      <c r="B38" s="390"/>
      <c r="C38" s="391"/>
      <c r="D38" s="392"/>
      <c r="E38" s="392"/>
      <c r="F38" s="393"/>
      <c r="G38" s="370">
        <f>G37-G36</f>
        <v>46039000</v>
      </c>
    </row>
    <row r="40" spans="1:7" x14ac:dyDescent="0.25">
      <c r="A40" s="362"/>
    </row>
    <row r="42" spans="1:7" x14ac:dyDescent="0.25">
      <c r="A42" s="618" t="s">
        <v>269</v>
      </c>
    </row>
  </sheetData>
  <mergeCells count="3">
    <mergeCell ref="A5:A6"/>
    <mergeCell ref="B5:B6"/>
    <mergeCell ref="G5:G6"/>
  </mergeCells>
  <hyperlinks>
    <hyperlink ref="A42" location="'0 Seznam'!A1" display="Seznam" xr:uid="{35D35BA0-997C-4FA3-BFE4-E0E57CB952ED}"/>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D46"/>
  <sheetViews>
    <sheetView topLeftCell="A4" zoomScale="85" zoomScaleNormal="85" workbookViewId="0">
      <selection activeCell="B2" sqref="B2"/>
    </sheetView>
  </sheetViews>
  <sheetFormatPr defaultRowHeight="15" x14ac:dyDescent="0.25"/>
  <cols>
    <col min="1" max="1" width="9.42578125" customWidth="1"/>
    <col min="2" max="2" width="56.140625" customWidth="1"/>
    <col min="3" max="3" width="13.7109375" customWidth="1"/>
    <col min="4" max="4" width="14.140625" customWidth="1"/>
    <col min="8" max="8" width="12.5703125" bestFit="1" customWidth="1"/>
    <col min="9" max="9" width="10.5703125" bestFit="1" customWidth="1"/>
  </cols>
  <sheetData>
    <row r="1" spans="1:4" ht="27.75" x14ac:dyDescent="0.25">
      <c r="A1" s="280" t="s">
        <v>102</v>
      </c>
      <c r="B1" s="259"/>
      <c r="C1" s="259"/>
      <c r="D1" s="259"/>
    </row>
    <row r="2" spans="1:4" ht="23.25" x14ac:dyDescent="0.25">
      <c r="A2" s="281"/>
      <c r="B2" s="259"/>
      <c r="C2" s="259"/>
      <c r="D2" s="259"/>
    </row>
    <row r="3" spans="1:4" ht="20.25" x14ac:dyDescent="0.25">
      <c r="A3" s="282" t="s">
        <v>335</v>
      </c>
      <c r="B3" s="259"/>
      <c r="C3" s="259"/>
      <c r="D3" s="259"/>
    </row>
    <row r="4" spans="1:4" x14ac:dyDescent="0.25">
      <c r="A4" s="279"/>
      <c r="B4" s="279"/>
      <c r="C4" s="279"/>
      <c r="D4" s="279"/>
    </row>
    <row r="5" spans="1:4" ht="20.25" x14ac:dyDescent="0.25">
      <c r="A5" s="282" t="s">
        <v>103</v>
      </c>
      <c r="B5" s="283"/>
      <c r="C5" s="283"/>
      <c r="D5" s="283"/>
    </row>
    <row r="6" spans="1:4" x14ac:dyDescent="0.25">
      <c r="A6" s="284"/>
      <c r="B6" s="259"/>
      <c r="C6" s="259"/>
      <c r="D6" s="259"/>
    </row>
    <row r="7" spans="1:4" x14ac:dyDescent="0.25">
      <c r="A7" s="1098" t="s">
        <v>104</v>
      </c>
      <c r="B7" s="1099"/>
      <c r="C7" s="1100"/>
      <c r="D7" s="285">
        <v>145374</v>
      </c>
    </row>
    <row r="8" spans="1:4" x14ac:dyDescent="0.25">
      <c r="A8" s="1098" t="s">
        <v>105</v>
      </c>
      <c r="B8" s="1099"/>
      <c r="C8" s="1100"/>
      <c r="D8" s="285">
        <v>8404</v>
      </c>
    </row>
    <row r="9" spans="1:4" x14ac:dyDescent="0.25">
      <c r="A9" s="1098" t="s">
        <v>106</v>
      </c>
      <c r="B9" s="1099"/>
      <c r="C9" s="1100"/>
      <c r="D9" s="285">
        <v>5400</v>
      </c>
    </row>
    <row r="10" spans="1:4" x14ac:dyDescent="0.25">
      <c r="A10" s="1098" t="s">
        <v>107</v>
      </c>
      <c r="B10" s="1099"/>
      <c r="C10" s="1100"/>
      <c r="D10" s="285">
        <f>'1 Bilance'!O26</f>
        <v>785019600</v>
      </c>
    </row>
    <row r="11" spans="1:4" x14ac:dyDescent="0.25">
      <c r="A11" s="1098" t="s">
        <v>272</v>
      </c>
      <c r="B11" s="1099"/>
      <c r="C11" s="1100"/>
      <c r="D11" s="285">
        <f>'1 Bilance'!O27</f>
        <v>25000000</v>
      </c>
    </row>
    <row r="12" spans="1:4" x14ac:dyDescent="0.25">
      <c r="A12" s="259"/>
      <c r="B12" s="259"/>
      <c r="C12" s="259"/>
      <c r="D12" s="286"/>
    </row>
    <row r="13" spans="1:4" ht="20.25" x14ac:dyDescent="0.25">
      <c r="A13" s="282" t="s">
        <v>108</v>
      </c>
      <c r="B13" s="259"/>
      <c r="C13" s="259"/>
      <c r="D13" s="287"/>
    </row>
    <row r="14" spans="1:4" ht="15.75" thickBot="1" x14ac:dyDescent="0.3">
      <c r="A14" s="259"/>
      <c r="B14" s="259"/>
      <c r="C14" s="259"/>
      <c r="D14" s="288" t="s">
        <v>0</v>
      </c>
    </row>
    <row r="15" spans="1:4" x14ac:dyDescent="0.25">
      <c r="A15" s="1101" t="s">
        <v>2</v>
      </c>
      <c r="B15" s="1103" t="s">
        <v>109</v>
      </c>
      <c r="C15" s="1103" t="s">
        <v>110</v>
      </c>
      <c r="D15" s="1094" t="s">
        <v>111</v>
      </c>
    </row>
    <row r="16" spans="1:4" ht="15.75" thickBot="1" x14ac:dyDescent="0.3">
      <c r="A16" s="1102"/>
      <c r="B16" s="1104"/>
      <c r="C16" s="1104"/>
      <c r="D16" s="1095"/>
    </row>
    <row r="17" spans="1:4" x14ac:dyDescent="0.25">
      <c r="A17" s="289">
        <v>11000</v>
      </c>
      <c r="B17" s="290" t="s">
        <v>4</v>
      </c>
      <c r="C17" s="291">
        <v>24405</v>
      </c>
      <c r="D17" s="292">
        <f>+C17*$D$9</f>
        <v>131787000</v>
      </c>
    </row>
    <row r="18" spans="1:4" x14ac:dyDescent="0.25">
      <c r="A18" s="293">
        <v>12000</v>
      </c>
      <c r="B18" s="294" t="s">
        <v>5</v>
      </c>
      <c r="C18" s="295">
        <v>4431</v>
      </c>
      <c r="D18" s="296">
        <f t="shared" ref="D18:D42" si="0">+C18*$D$9</f>
        <v>23927400</v>
      </c>
    </row>
    <row r="19" spans="1:4" x14ac:dyDescent="0.25">
      <c r="A19" s="293">
        <v>13000</v>
      </c>
      <c r="B19" s="294" t="s">
        <v>6</v>
      </c>
      <c r="C19" s="295">
        <v>2978</v>
      </c>
      <c r="D19" s="296">
        <f t="shared" si="0"/>
        <v>16081200</v>
      </c>
    </row>
    <row r="20" spans="1:4" x14ac:dyDescent="0.25">
      <c r="A20" s="293">
        <v>14000</v>
      </c>
      <c r="B20" s="294" t="s">
        <v>7</v>
      </c>
      <c r="C20" s="295">
        <v>18689</v>
      </c>
      <c r="D20" s="296">
        <f t="shared" si="0"/>
        <v>100920600</v>
      </c>
    </row>
    <row r="21" spans="1:4" x14ac:dyDescent="0.25">
      <c r="A21" s="293">
        <v>15000</v>
      </c>
      <c r="B21" s="294" t="s">
        <v>8</v>
      </c>
      <c r="C21" s="295">
        <v>11492</v>
      </c>
      <c r="D21" s="296">
        <f t="shared" si="0"/>
        <v>62056800</v>
      </c>
    </row>
    <row r="22" spans="1:4" x14ac:dyDescent="0.25">
      <c r="A22" s="293">
        <v>16000</v>
      </c>
      <c r="B22" s="294" t="s">
        <v>296</v>
      </c>
      <c r="C22" s="295">
        <v>1282</v>
      </c>
      <c r="D22" s="296">
        <f t="shared" si="0"/>
        <v>6922800</v>
      </c>
    </row>
    <row r="23" spans="1:4" x14ac:dyDescent="0.25">
      <c r="A23" s="293">
        <v>17000</v>
      </c>
      <c r="B23" s="294" t="s">
        <v>9</v>
      </c>
      <c r="C23" s="295">
        <v>3970</v>
      </c>
      <c r="D23" s="296">
        <f t="shared" si="0"/>
        <v>21438000</v>
      </c>
    </row>
    <row r="24" spans="1:4" x14ac:dyDescent="0.25">
      <c r="A24" s="293">
        <v>18000</v>
      </c>
      <c r="B24" s="294" t="s">
        <v>10</v>
      </c>
      <c r="C24" s="295">
        <v>2882</v>
      </c>
      <c r="D24" s="296">
        <f t="shared" si="0"/>
        <v>15562800</v>
      </c>
    </row>
    <row r="25" spans="1:4" x14ac:dyDescent="0.25">
      <c r="A25" s="293">
        <v>19000</v>
      </c>
      <c r="B25" s="294" t="s">
        <v>11</v>
      </c>
      <c r="C25" s="295">
        <v>1161</v>
      </c>
      <c r="D25" s="296">
        <f t="shared" si="0"/>
        <v>6269400</v>
      </c>
    </row>
    <row r="26" spans="1:4" x14ac:dyDescent="0.25">
      <c r="A26" s="293">
        <v>21000</v>
      </c>
      <c r="B26" s="294" t="s">
        <v>12</v>
      </c>
      <c r="C26" s="295">
        <v>10250</v>
      </c>
      <c r="D26" s="296">
        <f t="shared" si="0"/>
        <v>55350000</v>
      </c>
    </row>
    <row r="27" spans="1:4" x14ac:dyDescent="0.25">
      <c r="A27" s="293">
        <v>22000</v>
      </c>
      <c r="B27" s="294" t="s">
        <v>13</v>
      </c>
      <c r="C27" s="295">
        <v>2725</v>
      </c>
      <c r="D27" s="296">
        <f t="shared" si="0"/>
        <v>14715000</v>
      </c>
    </row>
    <row r="28" spans="1:4" x14ac:dyDescent="0.25">
      <c r="A28" s="293">
        <v>23000</v>
      </c>
      <c r="B28" s="294" t="s">
        <v>14</v>
      </c>
      <c r="C28" s="295">
        <v>6374</v>
      </c>
      <c r="D28" s="296">
        <f t="shared" si="0"/>
        <v>34419600</v>
      </c>
    </row>
    <row r="29" spans="1:4" x14ac:dyDescent="0.25">
      <c r="A29" s="293">
        <v>24000</v>
      </c>
      <c r="B29" s="294" t="s">
        <v>15</v>
      </c>
      <c r="C29" s="295">
        <v>2857</v>
      </c>
      <c r="D29" s="296">
        <f t="shared" si="0"/>
        <v>15427800</v>
      </c>
    </row>
    <row r="30" spans="1:4" x14ac:dyDescent="0.25">
      <c r="A30" s="293">
        <v>25000</v>
      </c>
      <c r="B30" s="294" t="s">
        <v>16</v>
      </c>
      <c r="C30" s="295">
        <v>3779</v>
      </c>
      <c r="D30" s="296">
        <f t="shared" si="0"/>
        <v>20406600</v>
      </c>
    </row>
    <row r="31" spans="1:4" x14ac:dyDescent="0.25">
      <c r="A31" s="293">
        <v>26000</v>
      </c>
      <c r="B31" s="294" t="s">
        <v>17</v>
      </c>
      <c r="C31" s="295">
        <v>12660</v>
      </c>
      <c r="D31" s="296">
        <f t="shared" si="0"/>
        <v>68364000</v>
      </c>
    </row>
    <row r="32" spans="1:4" x14ac:dyDescent="0.25">
      <c r="A32" s="293">
        <v>27000</v>
      </c>
      <c r="B32" s="294" t="s">
        <v>18</v>
      </c>
      <c r="C32" s="295">
        <v>5170</v>
      </c>
      <c r="D32" s="296">
        <f t="shared" si="0"/>
        <v>27918000</v>
      </c>
    </row>
    <row r="33" spans="1:4" x14ac:dyDescent="0.25">
      <c r="A33" s="293">
        <v>28000</v>
      </c>
      <c r="B33" s="294" t="s">
        <v>19</v>
      </c>
      <c r="C33" s="295">
        <v>3916</v>
      </c>
      <c r="D33" s="296">
        <f t="shared" si="0"/>
        <v>21146400</v>
      </c>
    </row>
    <row r="34" spans="1:4" x14ac:dyDescent="0.25">
      <c r="A34" s="293">
        <v>31000</v>
      </c>
      <c r="B34" s="294" t="s">
        <v>20</v>
      </c>
      <c r="C34" s="295">
        <v>7572</v>
      </c>
      <c r="D34" s="296">
        <f t="shared" si="0"/>
        <v>40888800</v>
      </c>
    </row>
    <row r="35" spans="1:4" x14ac:dyDescent="0.25">
      <c r="A35" s="293">
        <v>41000</v>
      </c>
      <c r="B35" s="294" t="s">
        <v>21</v>
      </c>
      <c r="C35" s="295">
        <v>10764</v>
      </c>
      <c r="D35" s="296">
        <f t="shared" si="0"/>
        <v>58125600</v>
      </c>
    </row>
    <row r="36" spans="1:4" x14ac:dyDescent="0.25">
      <c r="A36" s="293">
        <v>43000</v>
      </c>
      <c r="B36" s="294" t="s">
        <v>22</v>
      </c>
      <c r="C36" s="295">
        <v>4874</v>
      </c>
      <c r="D36" s="296">
        <f t="shared" si="0"/>
        <v>26319600</v>
      </c>
    </row>
    <row r="37" spans="1:4" x14ac:dyDescent="0.25">
      <c r="A37" s="293">
        <v>51000</v>
      </c>
      <c r="B37" s="294" t="s">
        <v>23</v>
      </c>
      <c r="C37" s="295">
        <v>615</v>
      </c>
      <c r="D37" s="296">
        <f t="shared" si="0"/>
        <v>3321000</v>
      </c>
    </row>
    <row r="38" spans="1:4" x14ac:dyDescent="0.25">
      <c r="A38" s="293">
        <v>52000</v>
      </c>
      <c r="B38" s="294" t="s">
        <v>24</v>
      </c>
      <c r="C38" s="295">
        <v>157</v>
      </c>
      <c r="D38" s="296">
        <f t="shared" si="0"/>
        <v>847800</v>
      </c>
    </row>
    <row r="39" spans="1:4" x14ac:dyDescent="0.25">
      <c r="A39" s="293">
        <v>53000</v>
      </c>
      <c r="B39" s="294" t="s">
        <v>25</v>
      </c>
      <c r="C39" s="295">
        <v>273</v>
      </c>
      <c r="D39" s="296">
        <f t="shared" si="0"/>
        <v>1474200</v>
      </c>
    </row>
    <row r="40" spans="1:4" x14ac:dyDescent="0.25">
      <c r="A40" s="293">
        <v>54000</v>
      </c>
      <c r="B40" s="294" t="s">
        <v>303</v>
      </c>
      <c r="C40" s="295">
        <v>463</v>
      </c>
      <c r="D40" s="296">
        <f t="shared" si="0"/>
        <v>2500200</v>
      </c>
    </row>
    <row r="41" spans="1:4" x14ac:dyDescent="0.25">
      <c r="A41" s="293">
        <v>55000</v>
      </c>
      <c r="B41" s="294" t="s">
        <v>26</v>
      </c>
      <c r="C41" s="295">
        <v>696</v>
      </c>
      <c r="D41" s="296">
        <f t="shared" si="0"/>
        <v>3758400</v>
      </c>
    </row>
    <row r="42" spans="1:4" ht="15" customHeight="1" thickBot="1" x14ac:dyDescent="0.3">
      <c r="A42" s="297">
        <v>56000</v>
      </c>
      <c r="B42" s="298" t="s">
        <v>27</v>
      </c>
      <c r="C42" s="299">
        <v>939</v>
      </c>
      <c r="D42" s="300">
        <f t="shared" si="0"/>
        <v>5070600</v>
      </c>
    </row>
    <row r="43" spans="1:4" ht="15.75" thickBot="1" x14ac:dyDescent="0.3">
      <c r="A43" s="1096" t="s">
        <v>112</v>
      </c>
      <c r="B43" s="1097"/>
      <c r="C43" s="301">
        <f>SUM(C17:C42)</f>
        <v>145374</v>
      </c>
      <c r="D43" s="302">
        <f>SUM(D17:D42)</f>
        <v>785019600</v>
      </c>
    </row>
    <row r="44" spans="1:4" x14ac:dyDescent="0.25">
      <c r="A44" s="259" t="s">
        <v>336</v>
      </c>
      <c r="B44" s="256"/>
      <c r="C44" s="256"/>
      <c r="D44" s="256"/>
    </row>
    <row r="46" spans="1:4" x14ac:dyDescent="0.25">
      <c r="A46" s="618"/>
    </row>
  </sheetData>
  <mergeCells count="10">
    <mergeCell ref="D15:D16"/>
    <mergeCell ref="A43:B43"/>
    <mergeCell ref="A7:C7"/>
    <mergeCell ref="A8:C8"/>
    <mergeCell ref="A9:C9"/>
    <mergeCell ref="A10:C10"/>
    <mergeCell ref="A11:C11"/>
    <mergeCell ref="A15:A16"/>
    <mergeCell ref="B15:B16"/>
    <mergeCell ref="C15:C16"/>
  </mergeCells>
  <pageMargins left="0.70866141732283472" right="0.70866141732283472" top="0.78740157480314965" bottom="0.78740157480314965" header="0.31496062992125984" footer="0.31496062992125984"/>
  <pageSetup paperSize="9" scale="73" orientation="portrait" r:id="rId1"/>
  <headerFooter>
    <oddHeader xml:space="preserve">&amp;LČ. j.:1468 /2023-1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G35"/>
  <sheetViews>
    <sheetView zoomScale="85" zoomScaleNormal="85" workbookViewId="0">
      <selection activeCell="F38" sqref="F38"/>
    </sheetView>
  </sheetViews>
  <sheetFormatPr defaultRowHeight="15" x14ac:dyDescent="0.25"/>
  <cols>
    <col min="1" max="1" width="11.140625" customWidth="1"/>
    <col min="2" max="2" width="60.7109375" customWidth="1"/>
    <col min="3" max="4" width="18.28515625" customWidth="1"/>
    <col min="5" max="7" width="57.140625" customWidth="1"/>
  </cols>
  <sheetData>
    <row r="1" spans="1:7" ht="27.75" x14ac:dyDescent="0.25">
      <c r="A1" s="471" t="s">
        <v>171</v>
      </c>
      <c r="B1" s="472"/>
      <c r="C1" s="472"/>
    </row>
    <row r="2" spans="1:7" x14ac:dyDescent="0.25">
      <c r="A2" s="473"/>
      <c r="B2" s="472"/>
      <c r="C2" s="472"/>
    </row>
    <row r="3" spans="1:7" ht="20.25" x14ac:dyDescent="0.25">
      <c r="A3" s="474" t="s">
        <v>337</v>
      </c>
      <c r="B3" s="472"/>
      <c r="C3" s="475"/>
    </row>
    <row r="4" spans="1:7" x14ac:dyDescent="0.25">
      <c r="A4" s="476"/>
      <c r="B4" s="472"/>
      <c r="C4" s="475"/>
    </row>
    <row r="5" spans="1:7" ht="15.75" thickBot="1" x14ac:dyDescent="0.3">
      <c r="A5" s="477"/>
      <c r="B5" s="477"/>
      <c r="C5" s="478" t="s">
        <v>0</v>
      </c>
    </row>
    <row r="6" spans="1:7" ht="45.75" thickBot="1" x14ac:dyDescent="0.3">
      <c r="A6" s="479" t="s">
        <v>2</v>
      </c>
      <c r="B6" s="480" t="s">
        <v>3</v>
      </c>
      <c r="C6" s="677" t="s">
        <v>29</v>
      </c>
      <c r="D6" s="480" t="s">
        <v>297</v>
      </c>
    </row>
    <row r="7" spans="1:7" x14ac:dyDescent="0.25">
      <c r="A7" s="481">
        <v>11000</v>
      </c>
      <c r="B7" s="482" t="s">
        <v>4</v>
      </c>
      <c r="C7" s="678">
        <v>0.1832</v>
      </c>
      <c r="D7" s="671">
        <v>226260259</v>
      </c>
      <c r="F7" s="670"/>
      <c r="G7" s="11"/>
    </row>
    <row r="8" spans="1:7" x14ac:dyDescent="0.25">
      <c r="A8" s="483">
        <v>12000</v>
      </c>
      <c r="B8" s="482" t="s">
        <v>5</v>
      </c>
      <c r="C8" s="678">
        <v>3.09E-2</v>
      </c>
      <c r="D8" s="671">
        <v>38180113</v>
      </c>
      <c r="F8" s="670"/>
      <c r="G8" s="11"/>
    </row>
    <row r="9" spans="1:7" x14ac:dyDescent="0.25">
      <c r="A9" s="483">
        <v>13000</v>
      </c>
      <c r="B9" s="482" t="s">
        <v>6</v>
      </c>
      <c r="C9" s="678">
        <v>2.3E-2</v>
      </c>
      <c r="D9" s="671">
        <v>28452218</v>
      </c>
      <c r="F9" s="670"/>
      <c r="G9" s="11"/>
    </row>
    <row r="10" spans="1:7" x14ac:dyDescent="0.25">
      <c r="A10" s="483">
        <v>14000</v>
      </c>
      <c r="B10" s="482" t="s">
        <v>7</v>
      </c>
      <c r="C10" s="678">
        <v>0.1145</v>
      </c>
      <c r="D10" s="671">
        <v>145621080</v>
      </c>
      <c r="E10" s="11"/>
      <c r="F10" s="670"/>
      <c r="G10" s="11"/>
    </row>
    <row r="11" spans="1:7" x14ac:dyDescent="0.25">
      <c r="A11" s="483">
        <v>15000</v>
      </c>
      <c r="B11" s="482" t="s">
        <v>8</v>
      </c>
      <c r="C11" s="678">
        <v>6.5600000000000006E-2</v>
      </c>
      <c r="D11" s="671">
        <v>80999060</v>
      </c>
      <c r="F11" s="670"/>
      <c r="G11" s="11"/>
    </row>
    <row r="12" spans="1:7" x14ac:dyDescent="0.25">
      <c r="A12" s="483">
        <v>16000</v>
      </c>
      <c r="B12" s="482" t="s">
        <v>296</v>
      </c>
      <c r="C12" s="678">
        <v>1.52E-2</v>
      </c>
      <c r="D12" s="671">
        <v>18728875</v>
      </c>
      <c r="F12" s="670"/>
      <c r="G12" s="11"/>
    </row>
    <row r="13" spans="1:7" x14ac:dyDescent="0.25">
      <c r="A13" s="483">
        <v>17000</v>
      </c>
      <c r="B13" s="482" t="s">
        <v>9</v>
      </c>
      <c r="C13" s="678">
        <v>2.7300000000000001E-2</v>
      </c>
      <c r="D13" s="671">
        <v>33693164</v>
      </c>
      <c r="F13" s="670"/>
      <c r="G13" s="11"/>
    </row>
    <row r="14" spans="1:7" x14ac:dyDescent="0.25">
      <c r="A14" s="483">
        <v>18000</v>
      </c>
      <c r="B14" s="482" t="s">
        <v>10</v>
      </c>
      <c r="C14" s="678">
        <v>1.6899999999999998E-2</v>
      </c>
      <c r="D14" s="671">
        <v>20830074</v>
      </c>
      <c r="F14" s="670"/>
      <c r="G14" s="11"/>
    </row>
    <row r="15" spans="1:7" x14ac:dyDescent="0.25">
      <c r="A15" s="483">
        <v>19000</v>
      </c>
      <c r="B15" s="482" t="s">
        <v>11</v>
      </c>
      <c r="C15" s="678">
        <v>1.4500000000000001E-2</v>
      </c>
      <c r="D15" s="671">
        <v>17963807</v>
      </c>
      <c r="F15" s="670"/>
      <c r="G15" s="11"/>
    </row>
    <row r="16" spans="1:7" x14ac:dyDescent="0.25">
      <c r="A16" s="483">
        <v>21000</v>
      </c>
      <c r="B16" s="482" t="s">
        <v>12</v>
      </c>
      <c r="C16" s="679">
        <v>8.6400000000000005E-2</v>
      </c>
      <c r="D16" s="672">
        <v>106722283</v>
      </c>
      <c r="F16" s="670"/>
      <c r="G16" s="11"/>
    </row>
    <row r="17" spans="1:7" x14ac:dyDescent="0.25">
      <c r="A17" s="483">
        <v>22000</v>
      </c>
      <c r="B17" s="482" t="s">
        <v>13</v>
      </c>
      <c r="C17" s="678">
        <v>2.4299999999999999E-2</v>
      </c>
      <c r="D17" s="671">
        <v>30016439</v>
      </c>
      <c r="F17" s="670"/>
      <c r="G17" s="11"/>
    </row>
    <row r="18" spans="1:7" x14ac:dyDescent="0.25">
      <c r="A18" s="483">
        <v>23000</v>
      </c>
      <c r="B18" s="482" t="s">
        <v>14</v>
      </c>
      <c r="C18" s="678">
        <v>3.7100000000000001E-2</v>
      </c>
      <c r="D18" s="671">
        <v>45827155</v>
      </c>
      <c r="F18" s="670"/>
      <c r="G18" s="11"/>
    </row>
    <row r="19" spans="1:7" x14ac:dyDescent="0.25">
      <c r="A19" s="483">
        <v>24000</v>
      </c>
      <c r="B19" s="482" t="s">
        <v>15</v>
      </c>
      <c r="C19" s="678">
        <v>2.1399999999999999E-2</v>
      </c>
      <c r="D19" s="671">
        <v>26401801</v>
      </c>
      <c r="F19" s="670"/>
      <c r="G19" s="11"/>
    </row>
    <row r="20" spans="1:7" x14ac:dyDescent="0.25">
      <c r="A20" s="483">
        <v>25000</v>
      </c>
      <c r="B20" s="482" t="s">
        <v>16</v>
      </c>
      <c r="C20" s="678">
        <v>2.5499999999999998E-2</v>
      </c>
      <c r="D20" s="671">
        <v>31437583</v>
      </c>
      <c r="F20" s="670"/>
      <c r="G20" s="11"/>
    </row>
    <row r="21" spans="1:7" x14ac:dyDescent="0.25">
      <c r="A21" s="483">
        <v>26000</v>
      </c>
      <c r="B21" s="482" t="s">
        <v>17</v>
      </c>
      <c r="C21" s="678">
        <v>6.8699999999999997E-2</v>
      </c>
      <c r="D21" s="671">
        <v>84790450</v>
      </c>
      <c r="F21" s="670"/>
      <c r="G21" s="11"/>
    </row>
    <row r="22" spans="1:7" x14ac:dyDescent="0.25">
      <c r="A22" s="483">
        <v>27000</v>
      </c>
      <c r="B22" s="482" t="s">
        <v>18</v>
      </c>
      <c r="C22" s="678">
        <v>4.6100000000000002E-2</v>
      </c>
      <c r="D22" s="671">
        <v>56913700</v>
      </c>
      <c r="F22" s="670"/>
      <c r="G22" s="11"/>
    </row>
    <row r="23" spans="1:7" x14ac:dyDescent="0.25">
      <c r="A23" s="483">
        <v>28000</v>
      </c>
      <c r="B23" s="482" t="s">
        <v>19</v>
      </c>
      <c r="C23" s="678">
        <v>3.0599999999999999E-2</v>
      </c>
      <c r="D23" s="671">
        <v>37793587</v>
      </c>
      <c r="F23" s="670"/>
      <c r="G23" s="11"/>
    </row>
    <row r="24" spans="1:7" x14ac:dyDescent="0.25">
      <c r="A24" s="483">
        <v>31000</v>
      </c>
      <c r="B24" s="482" t="s">
        <v>20</v>
      </c>
      <c r="C24" s="678">
        <v>3.5900000000000001E-2</v>
      </c>
      <c r="D24" s="671">
        <v>44355853</v>
      </c>
      <c r="F24" s="670"/>
      <c r="G24" s="11"/>
    </row>
    <row r="25" spans="1:7" x14ac:dyDescent="0.25">
      <c r="A25" s="483">
        <v>41000</v>
      </c>
      <c r="B25" s="482" t="s">
        <v>21</v>
      </c>
      <c r="C25" s="678">
        <v>5.0599999999999999E-2</v>
      </c>
      <c r="D25" s="671">
        <v>62479503</v>
      </c>
      <c r="F25" s="670"/>
      <c r="G25" s="11"/>
    </row>
    <row r="26" spans="1:7" x14ac:dyDescent="0.25">
      <c r="A26" s="483">
        <v>43000</v>
      </c>
      <c r="B26" s="482" t="s">
        <v>22</v>
      </c>
      <c r="C26" s="678">
        <v>2.98E-2</v>
      </c>
      <c r="D26" s="671">
        <v>36828863</v>
      </c>
      <c r="F26" s="670"/>
      <c r="G26" s="11"/>
    </row>
    <row r="27" spans="1:7" x14ac:dyDescent="0.25">
      <c r="A27" s="483">
        <v>51000</v>
      </c>
      <c r="B27" s="484" t="s">
        <v>23</v>
      </c>
      <c r="C27" s="679">
        <v>1.7100000000000001E-2</v>
      </c>
      <c r="D27" s="672">
        <v>21133198</v>
      </c>
      <c r="F27" s="670"/>
      <c r="G27" s="11"/>
    </row>
    <row r="28" spans="1:7" x14ac:dyDescent="0.25">
      <c r="A28" s="483">
        <v>52000</v>
      </c>
      <c r="B28" s="484" t="s">
        <v>24</v>
      </c>
      <c r="C28" s="679">
        <v>4.7999999999999996E-3</v>
      </c>
      <c r="D28" s="672">
        <v>5867613</v>
      </c>
      <c r="F28" s="670"/>
      <c r="G28" s="11"/>
    </row>
    <row r="29" spans="1:7" x14ac:dyDescent="0.25">
      <c r="A29" s="483">
        <v>53000</v>
      </c>
      <c r="B29" s="484" t="s">
        <v>25</v>
      </c>
      <c r="C29" s="679">
        <v>6.8999999999999999E-3</v>
      </c>
      <c r="D29" s="672">
        <v>8511521</v>
      </c>
      <c r="F29" s="670"/>
      <c r="G29" s="11"/>
    </row>
    <row r="30" spans="1:7" x14ac:dyDescent="0.25">
      <c r="A30" s="483">
        <v>54000</v>
      </c>
      <c r="B30" s="484" t="s">
        <v>303</v>
      </c>
      <c r="C30" s="679">
        <v>9.9000000000000008E-3</v>
      </c>
      <c r="D30" s="672">
        <v>12276429</v>
      </c>
      <c r="F30" s="670"/>
      <c r="G30" s="11"/>
    </row>
    <row r="31" spans="1:7" x14ac:dyDescent="0.25">
      <c r="A31" s="483">
        <v>55000</v>
      </c>
      <c r="B31" s="484" t="s">
        <v>26</v>
      </c>
      <c r="C31" s="679">
        <v>5.8999999999999999E-3</v>
      </c>
      <c r="D31" s="672">
        <v>7297502</v>
      </c>
      <c r="F31" s="670"/>
      <c r="G31" s="11"/>
    </row>
    <row r="32" spans="1:7" ht="15.75" thickBot="1" x14ac:dyDescent="0.3">
      <c r="A32" s="485">
        <v>56000</v>
      </c>
      <c r="B32" s="442" t="s">
        <v>27</v>
      </c>
      <c r="C32" s="680">
        <v>8.0000000000000002E-3</v>
      </c>
      <c r="D32" s="673">
        <v>9850513</v>
      </c>
      <c r="F32" s="670"/>
      <c r="G32" s="11"/>
    </row>
    <row r="33" spans="1:4" ht="15.75" thickBot="1" x14ac:dyDescent="0.3">
      <c r="A33" s="1105" t="s">
        <v>28</v>
      </c>
      <c r="B33" s="1106"/>
      <c r="C33" s="681">
        <f>SUM(C7:C32)</f>
        <v>1.0001</v>
      </c>
      <c r="D33" s="674">
        <f>SUM(D7:D32)</f>
        <v>1239232643</v>
      </c>
    </row>
    <row r="35" spans="1:4" x14ac:dyDescent="0.25">
      <c r="A35" s="618" t="s">
        <v>269</v>
      </c>
    </row>
  </sheetData>
  <mergeCells count="1">
    <mergeCell ref="A33:B33"/>
  </mergeCells>
  <hyperlinks>
    <hyperlink ref="A35" location="'0 Seznam'!A1" display="Seznam" xr:uid="{94FCE854-8B5C-4802-843A-57FBC76FF195}"/>
  </hyperlinks>
  <pageMargins left="0.70866141732283472" right="0.70866141732283472" top="0.78740157480314965" bottom="0.78740157480314965" header="0.31496062992125984" footer="0.31496062992125984"/>
  <pageSetup paperSize="9" scale="73" orientation="portrait" r:id="rId1"/>
  <headerFooter>
    <oddHeader xml:space="preserve">&amp;LČ. j.:1468 /2023-1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L31"/>
  <sheetViews>
    <sheetView zoomScale="85" zoomScaleNormal="85" workbookViewId="0">
      <selection activeCell="B2" sqref="B2"/>
    </sheetView>
  </sheetViews>
  <sheetFormatPr defaultRowHeight="15" x14ac:dyDescent="0.25"/>
  <cols>
    <col min="1" max="1" width="10.140625" customWidth="1"/>
    <col min="2" max="2" width="50.85546875" bestFit="1" customWidth="1"/>
    <col min="3" max="3" width="15.42578125" customWidth="1"/>
    <col min="4" max="4" width="45.28515625" bestFit="1" customWidth="1"/>
    <col min="5" max="10" width="18.7109375" customWidth="1"/>
    <col min="11" max="13" width="18.140625" customWidth="1"/>
    <col min="15" max="15" width="16.42578125" bestFit="1" customWidth="1"/>
  </cols>
  <sheetData>
    <row r="1" spans="1:12" ht="27.75" customHeight="1" x14ac:dyDescent="0.25">
      <c r="A1" s="1107" t="s">
        <v>338</v>
      </c>
      <c r="B1" s="1107"/>
      <c r="C1" s="1107"/>
      <c r="D1" s="1107"/>
    </row>
    <row r="2" spans="1:12" ht="15.75" customHeight="1" x14ac:dyDescent="0.25"/>
    <row r="3" spans="1:12" x14ac:dyDescent="0.25">
      <c r="B3" s="571" t="s">
        <v>234</v>
      </c>
      <c r="C3" s="571" t="s">
        <v>235</v>
      </c>
    </row>
    <row r="4" spans="1:12" x14ac:dyDescent="0.25">
      <c r="B4" s="556" t="s">
        <v>119</v>
      </c>
      <c r="C4" s="572">
        <v>0.75</v>
      </c>
    </row>
    <row r="5" spans="1:12" x14ac:dyDescent="0.25">
      <c r="B5" s="556" t="s">
        <v>236</v>
      </c>
      <c r="C5" s="572">
        <v>0.1</v>
      </c>
    </row>
    <row r="6" spans="1:12" x14ac:dyDescent="0.25">
      <c r="B6" s="556" t="s">
        <v>237</v>
      </c>
      <c r="C6" s="572">
        <v>0.1</v>
      </c>
    </row>
    <row r="7" spans="1:12" x14ac:dyDescent="0.25">
      <c r="B7" s="556" t="s">
        <v>238</v>
      </c>
      <c r="C7" s="572">
        <v>0.05</v>
      </c>
    </row>
    <row r="9" spans="1:12" x14ac:dyDescent="0.25">
      <c r="B9" s="39" t="s">
        <v>339</v>
      </c>
      <c r="C9" s="516">
        <f>'1 Bilance'!O53</f>
        <v>100000000</v>
      </c>
    </row>
    <row r="11" spans="1:12" ht="15.75" thickBot="1" x14ac:dyDescent="0.3"/>
    <row r="12" spans="1:12" ht="45.75" thickBot="1" x14ac:dyDescent="0.3">
      <c r="A12" s="573" t="s">
        <v>2</v>
      </c>
      <c r="B12" s="574" t="s">
        <v>239</v>
      </c>
      <c r="C12" s="574" t="s">
        <v>177</v>
      </c>
      <c r="D12" s="575" t="s">
        <v>240</v>
      </c>
      <c r="E12" s="576" t="s">
        <v>119</v>
      </c>
      <c r="F12" s="577" t="s">
        <v>236</v>
      </c>
      <c r="G12" s="577" t="s">
        <v>237</v>
      </c>
      <c r="H12" s="578" t="s">
        <v>238</v>
      </c>
      <c r="I12" s="576" t="s">
        <v>241</v>
      </c>
      <c r="J12" s="579" t="s">
        <v>144</v>
      </c>
    </row>
    <row r="13" spans="1:12" x14ac:dyDescent="0.25">
      <c r="A13" s="490" t="s">
        <v>242</v>
      </c>
      <c r="B13" s="634" t="s">
        <v>6</v>
      </c>
      <c r="C13" s="580">
        <v>13530</v>
      </c>
      <c r="D13" s="638" t="s">
        <v>243</v>
      </c>
      <c r="E13" s="622">
        <v>5.5513435352137278E-2</v>
      </c>
      <c r="F13" s="623">
        <v>4.7826889343163939E-2</v>
      </c>
      <c r="G13" s="623">
        <v>0.10045161960132891</v>
      </c>
      <c r="H13" s="553">
        <v>5.7551134732633326E-2</v>
      </c>
      <c r="I13" s="624">
        <f>$C$4*E13+$C$5*F13+$C$6*G13+$C$7*H13</f>
        <v>5.9340484145183919E-2</v>
      </c>
      <c r="J13" s="555">
        <f>ROUND(I13*$C$9,0)</f>
        <v>5934048</v>
      </c>
      <c r="L13" s="11"/>
    </row>
    <row r="14" spans="1:12" x14ac:dyDescent="0.25">
      <c r="A14" s="498" t="s">
        <v>244</v>
      </c>
      <c r="B14" s="635" t="s">
        <v>9</v>
      </c>
      <c r="C14" s="556">
        <v>17500</v>
      </c>
      <c r="D14" s="639" t="s">
        <v>245</v>
      </c>
      <c r="E14" s="625">
        <v>6.1330045519920363E-2</v>
      </c>
      <c r="F14" s="626">
        <v>5.1028999736695974E-2</v>
      </c>
      <c r="G14" s="626">
        <v>1.1383928571428571E-2</v>
      </c>
      <c r="H14" s="501">
        <v>5.4706685600495568E-2</v>
      </c>
      <c r="I14" s="625">
        <f t="shared" ref="I14:I28" si="0">$C$4*E14+$C$5*F14+$C$6*G14+$C$7*H14</f>
        <v>5.497416125077751E-2</v>
      </c>
      <c r="J14" s="445">
        <f t="shared" ref="J14:J28" si="1">ROUND(I14*$C$9,0)</f>
        <v>5497416</v>
      </c>
      <c r="L14" s="11"/>
    </row>
    <row r="15" spans="1:12" ht="15" customHeight="1" x14ac:dyDescent="0.25">
      <c r="A15" s="498" t="s">
        <v>246</v>
      </c>
      <c r="B15" s="635" t="s">
        <v>12</v>
      </c>
      <c r="C15" s="556">
        <v>21450</v>
      </c>
      <c r="D15" s="639" t="s">
        <v>247</v>
      </c>
      <c r="E15" s="625">
        <v>9.233781245343127E-2</v>
      </c>
      <c r="F15" s="626">
        <v>0.10839717732470765</v>
      </c>
      <c r="G15" s="626">
        <v>0.16401578073089701</v>
      </c>
      <c r="H15" s="501">
        <v>2.980913396808545E-2</v>
      </c>
      <c r="I15" s="625">
        <f t="shared" si="0"/>
        <v>9.7985111844038186E-2</v>
      </c>
      <c r="J15" s="445">
        <f>ROUND(I15*$C$9+0.1,0)</f>
        <v>9798511</v>
      </c>
      <c r="L15" s="11"/>
    </row>
    <row r="16" spans="1:12" ht="15" customHeight="1" x14ac:dyDescent="0.25">
      <c r="A16" s="498" t="s">
        <v>248</v>
      </c>
      <c r="B16" s="635" t="s">
        <v>14</v>
      </c>
      <c r="C16" s="556">
        <v>23410</v>
      </c>
      <c r="D16" s="639" t="s">
        <v>249</v>
      </c>
      <c r="E16" s="625">
        <v>7.7982295242050914E-2</v>
      </c>
      <c r="F16" s="626">
        <v>4.9611386900545215E-2</v>
      </c>
      <c r="G16" s="626">
        <v>0</v>
      </c>
      <c r="H16" s="501">
        <v>2.722952233348145E-2</v>
      </c>
      <c r="I16" s="625">
        <f t="shared" si="0"/>
        <v>6.4809336238266776E-2</v>
      </c>
      <c r="J16" s="445">
        <f t="shared" si="1"/>
        <v>6480934</v>
      </c>
      <c r="L16" s="11"/>
    </row>
    <row r="17" spans="1:12" ht="15" customHeight="1" x14ac:dyDescent="0.25">
      <c r="A17" s="498" t="s">
        <v>250</v>
      </c>
      <c r="B17" s="635" t="s">
        <v>15</v>
      </c>
      <c r="C17" s="556">
        <v>24520</v>
      </c>
      <c r="D17" s="639" t="s">
        <v>251</v>
      </c>
      <c r="E17" s="625">
        <v>9.98635850170497E-3</v>
      </c>
      <c r="F17" s="626">
        <v>2.3059984078787957E-2</v>
      </c>
      <c r="G17" s="626">
        <v>0</v>
      </c>
      <c r="H17" s="501">
        <v>4.9193643614444893E-2</v>
      </c>
      <c r="I17" s="625">
        <f t="shared" si="0"/>
        <v>1.2255449464879768E-2</v>
      </c>
      <c r="J17" s="445">
        <f t="shared" si="1"/>
        <v>1225545</v>
      </c>
      <c r="L17" s="11"/>
    </row>
    <row r="18" spans="1:12" ht="15" customHeight="1" x14ac:dyDescent="0.25">
      <c r="A18" s="498" t="s">
        <v>252</v>
      </c>
      <c r="B18" s="635" t="s">
        <v>16</v>
      </c>
      <c r="C18" s="556">
        <v>25110</v>
      </c>
      <c r="D18" s="639" t="s">
        <v>253</v>
      </c>
      <c r="E18" s="625">
        <v>4.9215882541979875E-3</v>
      </c>
      <c r="F18" s="626">
        <v>8.4586372994476106E-3</v>
      </c>
      <c r="G18" s="626">
        <v>0</v>
      </c>
      <c r="H18" s="501">
        <v>7.3664188354175708E-2</v>
      </c>
      <c r="I18" s="625">
        <f t="shared" si="0"/>
        <v>8.2202643383020371E-3</v>
      </c>
      <c r="J18" s="445">
        <f t="shared" si="1"/>
        <v>822026</v>
      </c>
      <c r="L18" s="11"/>
    </row>
    <row r="19" spans="1:12" ht="15" customHeight="1" x14ac:dyDescent="0.25">
      <c r="A19" s="498" t="s">
        <v>254</v>
      </c>
      <c r="B19" s="635" t="s">
        <v>17</v>
      </c>
      <c r="C19" s="556">
        <v>26410</v>
      </c>
      <c r="D19" s="639" t="s">
        <v>247</v>
      </c>
      <c r="E19" s="625">
        <v>2.42228089470512E-2</v>
      </c>
      <c r="F19" s="626">
        <v>3.8215740917201126E-2</v>
      </c>
      <c r="G19" s="626">
        <v>4.0962416943521596E-2</v>
      </c>
      <c r="H19" s="501">
        <v>3.1889674378161197E-2</v>
      </c>
      <c r="I19" s="625">
        <f t="shared" si="0"/>
        <v>2.767940621526873E-2</v>
      </c>
      <c r="J19" s="445">
        <f t="shared" si="1"/>
        <v>2767941</v>
      </c>
      <c r="L19" s="11"/>
    </row>
    <row r="20" spans="1:12" ht="15" customHeight="1" x14ac:dyDescent="0.25">
      <c r="A20" s="498" t="s">
        <v>254</v>
      </c>
      <c r="B20" s="635" t="s">
        <v>17</v>
      </c>
      <c r="C20" s="556">
        <v>26420</v>
      </c>
      <c r="D20" s="639" t="s">
        <v>255</v>
      </c>
      <c r="E20" s="625">
        <v>9.3976017094191636E-2</v>
      </c>
      <c r="F20" s="626">
        <v>4.0487805406157262E-2</v>
      </c>
      <c r="G20" s="626">
        <v>4.1798172757475084E-2</v>
      </c>
      <c r="H20" s="501">
        <v>5.1343070451437343E-2</v>
      </c>
      <c r="I20" s="625">
        <f t="shared" si="0"/>
        <v>8.1277764159578825E-2</v>
      </c>
      <c r="J20" s="445">
        <f t="shared" si="1"/>
        <v>8127776</v>
      </c>
      <c r="L20" s="11"/>
    </row>
    <row r="21" spans="1:12" ht="15" customHeight="1" x14ac:dyDescent="0.25">
      <c r="A21" s="498" t="s">
        <v>256</v>
      </c>
      <c r="B21" s="635" t="s">
        <v>19</v>
      </c>
      <c r="C21" s="556">
        <v>28130</v>
      </c>
      <c r="D21" s="639" t="s">
        <v>257</v>
      </c>
      <c r="E21" s="625">
        <v>5.5973125366157853E-2</v>
      </c>
      <c r="F21" s="626">
        <v>5.1867026885537543E-2</v>
      </c>
      <c r="G21" s="626">
        <v>6.4062499999999994E-2</v>
      </c>
      <c r="H21" s="501">
        <v>2.2684493264787615E-2</v>
      </c>
      <c r="I21" s="625">
        <f t="shared" si="0"/>
        <v>5.4707021376411535E-2</v>
      </c>
      <c r="J21" s="445">
        <f t="shared" si="1"/>
        <v>5470702</v>
      </c>
      <c r="L21" s="11"/>
    </row>
    <row r="22" spans="1:12" ht="15" customHeight="1" x14ac:dyDescent="0.25">
      <c r="A22" s="498" t="s">
        <v>258</v>
      </c>
      <c r="B22" s="635" t="s">
        <v>23</v>
      </c>
      <c r="C22" s="556">
        <v>51110</v>
      </c>
      <c r="D22" s="639" t="s">
        <v>259</v>
      </c>
      <c r="E22" s="625">
        <v>0.10969834721952601</v>
      </c>
      <c r="F22" s="626">
        <v>0.12394532474615629</v>
      </c>
      <c r="G22" s="626">
        <v>0.10268376245847177</v>
      </c>
      <c r="H22" s="501">
        <v>8.8825943756907236E-2</v>
      </c>
      <c r="I22" s="625">
        <f t="shared" si="0"/>
        <v>0.10937796632295269</v>
      </c>
      <c r="J22" s="445">
        <f t="shared" si="1"/>
        <v>10937797</v>
      </c>
      <c r="L22" s="11"/>
    </row>
    <row r="23" spans="1:12" ht="15" customHeight="1" x14ac:dyDescent="0.25">
      <c r="A23" s="498" t="s">
        <v>258</v>
      </c>
      <c r="B23" s="635" t="s">
        <v>23</v>
      </c>
      <c r="C23" s="556">
        <v>51210</v>
      </c>
      <c r="D23" s="639" t="s">
        <v>260</v>
      </c>
      <c r="E23" s="625">
        <v>4.4788639097832351E-2</v>
      </c>
      <c r="F23" s="626">
        <v>8.6737676085055129E-2</v>
      </c>
      <c r="G23" s="626">
        <v>0.13416216777408638</v>
      </c>
      <c r="H23" s="501">
        <v>7.4423935032951694E-2</v>
      </c>
      <c r="I23" s="625">
        <f t="shared" si="0"/>
        <v>5.9402660460936008E-2</v>
      </c>
      <c r="J23" s="445">
        <f t="shared" si="1"/>
        <v>5940266</v>
      </c>
      <c r="L23" s="11"/>
    </row>
    <row r="24" spans="1:12" ht="15" customHeight="1" x14ac:dyDescent="0.25">
      <c r="A24" s="498" t="s">
        <v>258</v>
      </c>
      <c r="B24" s="635" t="s">
        <v>23</v>
      </c>
      <c r="C24" s="556">
        <v>51310</v>
      </c>
      <c r="D24" s="639" t="s">
        <v>261</v>
      </c>
      <c r="E24" s="625">
        <v>6.5835325145565976E-2</v>
      </c>
      <c r="F24" s="626">
        <v>7.4265224362190185E-2</v>
      </c>
      <c r="G24" s="626">
        <v>4.0126661129568107E-2</v>
      </c>
      <c r="H24" s="501">
        <v>8.211114711010753E-2</v>
      </c>
      <c r="I24" s="625">
        <f t="shared" si="0"/>
        <v>6.4921239763855679E-2</v>
      </c>
      <c r="J24" s="445">
        <f t="shared" si="1"/>
        <v>6492124</v>
      </c>
      <c r="L24" s="11"/>
    </row>
    <row r="25" spans="1:12" ht="15" customHeight="1" x14ac:dyDescent="0.25">
      <c r="A25" s="498" t="s">
        <v>262</v>
      </c>
      <c r="B25" s="635" t="s">
        <v>24</v>
      </c>
      <c r="C25" s="556">
        <v>52900</v>
      </c>
      <c r="D25" s="639" t="s">
        <v>263</v>
      </c>
      <c r="E25" s="625">
        <v>7.5170867445283743E-2</v>
      </c>
      <c r="F25" s="626">
        <v>3.5782558948571873E-2</v>
      </c>
      <c r="G25" s="626">
        <v>5.151058970099668E-2</v>
      </c>
      <c r="H25" s="501">
        <v>8.9104441556874955E-2</v>
      </c>
      <c r="I25" s="625">
        <f t="shared" si="0"/>
        <v>6.9562687526763423E-2</v>
      </c>
      <c r="J25" s="445">
        <f t="shared" si="1"/>
        <v>6956269</v>
      </c>
      <c r="L25" s="11"/>
    </row>
    <row r="26" spans="1:12" ht="15" customHeight="1" x14ac:dyDescent="0.25">
      <c r="A26" s="498" t="s">
        <v>264</v>
      </c>
      <c r="B26" s="635" t="s">
        <v>25</v>
      </c>
      <c r="C26" s="556">
        <v>53900</v>
      </c>
      <c r="D26" s="639" t="s">
        <v>263</v>
      </c>
      <c r="E26" s="625">
        <v>0.11972705483617915</v>
      </c>
      <c r="F26" s="626">
        <v>6.5903635189106566E-2</v>
      </c>
      <c r="G26" s="626">
        <v>0.1395141196013289</v>
      </c>
      <c r="H26" s="501">
        <v>6.6059411060928733E-2</v>
      </c>
      <c r="I26" s="625">
        <f t="shared" si="0"/>
        <v>0.11364003715922433</v>
      </c>
      <c r="J26" s="445">
        <f t="shared" si="1"/>
        <v>11364004</v>
      </c>
      <c r="L26" s="11"/>
    </row>
    <row r="27" spans="1:12" ht="15" customHeight="1" x14ac:dyDescent="0.25">
      <c r="A27" s="503" t="s">
        <v>265</v>
      </c>
      <c r="B27" s="636" t="s">
        <v>303</v>
      </c>
      <c r="C27" s="581">
        <v>54510</v>
      </c>
      <c r="D27" s="640" t="s">
        <v>266</v>
      </c>
      <c r="E27" s="625">
        <v>6.6678134989738319E-2</v>
      </c>
      <c r="F27" s="626">
        <v>0.12679409302096212</v>
      </c>
      <c r="G27" s="626">
        <v>6.5630191029900337E-2</v>
      </c>
      <c r="H27" s="501">
        <v>0.11144735433504863</v>
      </c>
      <c r="I27" s="625">
        <f t="shared" si="0"/>
        <v>7.4823397364142424E-2</v>
      </c>
      <c r="J27" s="445">
        <f t="shared" si="1"/>
        <v>7482340</v>
      </c>
      <c r="L27" s="11"/>
    </row>
    <row r="28" spans="1:12" ht="15.75" customHeight="1" thickBot="1" x14ac:dyDescent="0.3">
      <c r="A28" s="519" t="s">
        <v>265</v>
      </c>
      <c r="B28" s="637" t="s">
        <v>303</v>
      </c>
      <c r="C28" s="557">
        <v>54530</v>
      </c>
      <c r="D28" s="641" t="s">
        <v>260</v>
      </c>
      <c r="E28" s="627">
        <v>4.1858144535031054E-2</v>
      </c>
      <c r="F28" s="628">
        <v>6.7617839755713602E-2</v>
      </c>
      <c r="G28" s="628">
        <v>4.369808970099668E-2</v>
      </c>
      <c r="H28" s="560">
        <v>8.9956220449478777E-2</v>
      </c>
      <c r="I28" s="627">
        <f t="shared" si="0"/>
        <v>4.7023012369418256E-2</v>
      </c>
      <c r="J28" s="563">
        <f t="shared" si="1"/>
        <v>4702301</v>
      </c>
      <c r="L28" s="11"/>
    </row>
    <row r="29" spans="1:12" ht="15.75" customHeight="1" thickBot="1" x14ac:dyDescent="0.3">
      <c r="A29" s="1108" t="s">
        <v>126</v>
      </c>
      <c r="B29" s="1109"/>
      <c r="C29" s="1109"/>
      <c r="D29" s="1109"/>
      <c r="E29" s="629">
        <f>SUM(E13:E28)</f>
        <v>1.0000000000000002</v>
      </c>
      <c r="F29" s="630">
        <f t="shared" ref="F29:J29" si="2">SUM(F13:F28)</f>
        <v>1</v>
      </c>
      <c r="G29" s="630">
        <f t="shared" si="2"/>
        <v>0.99999999999999989</v>
      </c>
      <c r="H29" s="631">
        <f t="shared" si="2"/>
        <v>0.99999999999999989</v>
      </c>
      <c r="I29" s="632">
        <f t="shared" si="2"/>
        <v>1</v>
      </c>
      <c r="J29" s="633">
        <f t="shared" si="2"/>
        <v>100000000</v>
      </c>
    </row>
    <row r="31" spans="1:12" ht="15" customHeight="1" x14ac:dyDescent="0.25">
      <c r="A31" s="618" t="s">
        <v>269</v>
      </c>
    </row>
  </sheetData>
  <mergeCells count="2">
    <mergeCell ref="A1:D1"/>
    <mergeCell ref="A29:D29"/>
  </mergeCells>
  <hyperlinks>
    <hyperlink ref="A31" location="'0 Seznam'!A1" display="Seznam" xr:uid="{A491B748-68D3-42EC-9BD0-06650C97EF5B}"/>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ignoredErrors>
    <ignoredError sqref="J15" formula="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G39"/>
  <sheetViews>
    <sheetView zoomScale="85" zoomScaleNormal="85" workbookViewId="0">
      <selection sqref="A1:E1"/>
    </sheetView>
  </sheetViews>
  <sheetFormatPr defaultRowHeight="15" x14ac:dyDescent="0.25"/>
  <cols>
    <col min="1" max="1" width="11.140625" customWidth="1"/>
    <col min="2" max="2" width="61.85546875" customWidth="1"/>
    <col min="3" max="5" width="15.7109375" customWidth="1"/>
    <col min="7" max="7" width="14.5703125" customWidth="1"/>
  </cols>
  <sheetData>
    <row r="1" spans="1:7" ht="27.75" customHeight="1" x14ac:dyDescent="0.25">
      <c r="A1" s="1107" t="s">
        <v>147</v>
      </c>
      <c r="B1" s="1107"/>
      <c r="C1" s="1107"/>
      <c r="D1" s="1107"/>
      <c r="E1" s="1107"/>
    </row>
    <row r="2" spans="1:7" ht="15.75" x14ac:dyDescent="0.25">
      <c r="A2" s="399"/>
      <c r="B2" s="399"/>
      <c r="C2" s="399"/>
      <c r="D2" s="399"/>
      <c r="E2" s="399"/>
    </row>
    <row r="3" spans="1:7" ht="47.25" customHeight="1" x14ac:dyDescent="0.25">
      <c r="A3" s="1112" t="s">
        <v>340</v>
      </c>
      <c r="B3" s="1112"/>
      <c r="C3" s="1112"/>
      <c r="D3" s="1112"/>
      <c r="E3" s="1112"/>
    </row>
    <row r="4" spans="1:7" x14ac:dyDescent="0.25">
      <c r="A4" s="400"/>
      <c r="B4" s="400"/>
      <c r="C4" s="400"/>
      <c r="D4" s="400"/>
      <c r="E4" s="400"/>
    </row>
    <row r="5" spans="1:7" x14ac:dyDescent="0.25">
      <c r="A5" s="401" t="s">
        <v>148</v>
      </c>
      <c r="B5" s="402"/>
      <c r="C5" s="402"/>
      <c r="D5" s="403"/>
      <c r="E5" s="404">
        <f>'1 Bilance'!O44</f>
        <v>25000000</v>
      </c>
    </row>
    <row r="6" spans="1:7" x14ac:dyDescent="0.25">
      <c r="A6" s="401" t="s">
        <v>149</v>
      </c>
      <c r="B6" s="402"/>
      <c r="C6" s="402"/>
      <c r="D6" s="403"/>
      <c r="E6" s="405">
        <f>E5/D37</f>
        <v>34.239577335700702</v>
      </c>
    </row>
    <row r="7" spans="1:7" x14ac:dyDescent="0.25">
      <c r="A7" s="406"/>
      <c r="B7" s="406"/>
      <c r="C7" s="406"/>
      <c r="D7" s="406"/>
      <c r="E7" s="407"/>
    </row>
    <row r="8" spans="1:7" ht="15.75" thickBot="1" x14ac:dyDescent="0.3">
      <c r="A8" s="408"/>
      <c r="B8" s="408"/>
      <c r="C8" s="408"/>
      <c r="D8" s="408"/>
      <c r="E8" s="409" t="s">
        <v>0</v>
      </c>
    </row>
    <row r="9" spans="1:7" x14ac:dyDescent="0.25">
      <c r="A9" s="1113" t="s">
        <v>2</v>
      </c>
      <c r="B9" s="1115" t="s">
        <v>3</v>
      </c>
      <c r="C9" s="1117" t="s">
        <v>150</v>
      </c>
      <c r="D9" s="1118"/>
      <c r="E9" s="1119" t="s">
        <v>347</v>
      </c>
    </row>
    <row r="10" spans="1:7" ht="45.75" thickBot="1" x14ac:dyDescent="0.3">
      <c r="A10" s="1114"/>
      <c r="B10" s="1116"/>
      <c r="C10" s="410" t="s">
        <v>151</v>
      </c>
      <c r="D10" s="411" t="s">
        <v>152</v>
      </c>
      <c r="E10" s="1120"/>
    </row>
    <row r="11" spans="1:7" x14ac:dyDescent="0.25">
      <c r="A11" s="412">
        <v>11000</v>
      </c>
      <c r="B11" s="413" t="s">
        <v>4</v>
      </c>
      <c r="C11" s="414">
        <v>5559</v>
      </c>
      <c r="D11" s="415">
        <v>146919.70000000001</v>
      </c>
      <c r="E11" s="416">
        <f>ROUND(D11*$E$6,-3)</f>
        <v>5030000</v>
      </c>
      <c r="G11" s="615"/>
    </row>
    <row r="12" spans="1:7" x14ac:dyDescent="0.25">
      <c r="A12" s="417">
        <v>12000</v>
      </c>
      <c r="B12" s="418" t="s">
        <v>5</v>
      </c>
      <c r="C12" s="419">
        <v>1242</v>
      </c>
      <c r="D12" s="420">
        <v>30746.6</v>
      </c>
      <c r="E12" s="416">
        <f>ROUND(D12*$E$6+80,-3)</f>
        <v>1053000</v>
      </c>
      <c r="G12" s="11"/>
    </row>
    <row r="13" spans="1:7" x14ac:dyDescent="0.25">
      <c r="A13" s="417">
        <v>13000</v>
      </c>
      <c r="B13" s="418" t="s">
        <v>6</v>
      </c>
      <c r="C13" s="419">
        <v>2339</v>
      </c>
      <c r="D13" s="420">
        <v>40084.9</v>
      </c>
      <c r="E13" s="416">
        <f t="shared" ref="E13:E36" si="0">ROUND(D13*$E$6,-3)</f>
        <v>1372000</v>
      </c>
      <c r="G13" s="11"/>
    </row>
    <row r="14" spans="1:7" x14ac:dyDescent="0.25">
      <c r="A14" s="417">
        <v>14000</v>
      </c>
      <c r="B14" s="418" t="s">
        <v>7</v>
      </c>
      <c r="C14" s="419">
        <v>2885</v>
      </c>
      <c r="D14" s="420">
        <v>35953.800000000003</v>
      </c>
      <c r="E14" s="416">
        <f t="shared" si="0"/>
        <v>1231000</v>
      </c>
      <c r="G14" s="11"/>
    </row>
    <row r="15" spans="1:7" x14ac:dyDescent="0.25">
      <c r="A15" s="417">
        <v>15000</v>
      </c>
      <c r="B15" s="418" t="s">
        <v>8</v>
      </c>
      <c r="C15" s="419">
        <v>1519</v>
      </c>
      <c r="D15" s="420">
        <v>27602.799999999999</v>
      </c>
      <c r="E15" s="416">
        <f t="shared" si="0"/>
        <v>945000</v>
      </c>
      <c r="G15" s="11"/>
    </row>
    <row r="16" spans="1:7" x14ac:dyDescent="0.25">
      <c r="A16" s="417">
        <v>16000</v>
      </c>
      <c r="B16" s="418" t="s">
        <v>296</v>
      </c>
      <c r="C16" s="419">
        <v>62</v>
      </c>
      <c r="D16" s="420">
        <v>893.1</v>
      </c>
      <c r="E16" s="416">
        <f t="shared" si="0"/>
        <v>31000</v>
      </c>
      <c r="G16" s="11"/>
    </row>
    <row r="17" spans="1:7" x14ac:dyDescent="0.25">
      <c r="A17" s="417">
        <v>17000</v>
      </c>
      <c r="B17" s="418" t="s">
        <v>9</v>
      </c>
      <c r="C17" s="419">
        <v>1350</v>
      </c>
      <c r="D17" s="420">
        <v>29872.1</v>
      </c>
      <c r="E17" s="416">
        <f t="shared" si="0"/>
        <v>1023000</v>
      </c>
      <c r="G17" s="11"/>
    </row>
    <row r="18" spans="1:7" x14ac:dyDescent="0.25">
      <c r="A18" s="417">
        <v>18000</v>
      </c>
      <c r="B18" s="418" t="s">
        <v>10</v>
      </c>
      <c r="C18" s="419">
        <v>962</v>
      </c>
      <c r="D18" s="420">
        <v>20948.7</v>
      </c>
      <c r="E18" s="416">
        <f t="shared" si="0"/>
        <v>717000</v>
      </c>
      <c r="G18" s="11"/>
    </row>
    <row r="19" spans="1:7" x14ac:dyDescent="0.25">
      <c r="A19" s="417">
        <v>19000</v>
      </c>
      <c r="B19" s="418" t="s">
        <v>11</v>
      </c>
      <c r="C19" s="419">
        <v>658</v>
      </c>
      <c r="D19" s="420">
        <v>23531</v>
      </c>
      <c r="E19" s="416">
        <f t="shared" si="0"/>
        <v>806000</v>
      </c>
      <c r="G19" s="11"/>
    </row>
    <row r="20" spans="1:7" x14ac:dyDescent="0.25">
      <c r="A20" s="417">
        <v>21000</v>
      </c>
      <c r="B20" s="418" t="s">
        <v>12</v>
      </c>
      <c r="C20" s="419">
        <v>982</v>
      </c>
      <c r="D20" s="420">
        <v>32063.9</v>
      </c>
      <c r="E20" s="416">
        <f t="shared" si="0"/>
        <v>1098000</v>
      </c>
      <c r="G20" s="11"/>
    </row>
    <row r="21" spans="1:7" x14ac:dyDescent="0.25">
      <c r="A21" s="417">
        <v>22000</v>
      </c>
      <c r="B21" s="418" t="s">
        <v>13</v>
      </c>
      <c r="C21" s="419">
        <v>314</v>
      </c>
      <c r="D21" s="420">
        <v>8342.7000000000007</v>
      </c>
      <c r="E21" s="416">
        <f t="shared" si="0"/>
        <v>286000</v>
      </c>
      <c r="G21" s="11"/>
    </row>
    <row r="22" spans="1:7" x14ac:dyDescent="0.25">
      <c r="A22" s="417">
        <v>23000</v>
      </c>
      <c r="B22" s="418" t="s">
        <v>14</v>
      </c>
      <c r="C22" s="419">
        <v>3782</v>
      </c>
      <c r="D22" s="420">
        <v>59272</v>
      </c>
      <c r="E22" s="416">
        <f t="shared" si="0"/>
        <v>2029000</v>
      </c>
      <c r="G22" s="11"/>
    </row>
    <row r="23" spans="1:7" x14ac:dyDescent="0.25">
      <c r="A23" s="417">
        <v>24000</v>
      </c>
      <c r="B23" s="418" t="s">
        <v>15</v>
      </c>
      <c r="C23" s="419">
        <v>1424</v>
      </c>
      <c r="D23" s="420">
        <v>41461.4</v>
      </c>
      <c r="E23" s="416">
        <f t="shared" si="0"/>
        <v>1420000</v>
      </c>
      <c r="G23" s="11"/>
    </row>
    <row r="24" spans="1:7" x14ac:dyDescent="0.25">
      <c r="A24" s="417">
        <v>25000</v>
      </c>
      <c r="B24" s="418" t="s">
        <v>16</v>
      </c>
      <c r="C24" s="419">
        <v>612</v>
      </c>
      <c r="D24" s="420">
        <v>16657.8</v>
      </c>
      <c r="E24" s="416">
        <f t="shared" si="0"/>
        <v>570000</v>
      </c>
      <c r="G24" s="11"/>
    </row>
    <row r="25" spans="1:7" x14ac:dyDescent="0.25">
      <c r="A25" s="417">
        <v>26000</v>
      </c>
      <c r="B25" s="418" t="s">
        <v>17</v>
      </c>
      <c r="C25" s="419">
        <v>1459</v>
      </c>
      <c r="D25" s="420">
        <v>24103.599999999999</v>
      </c>
      <c r="E25" s="416">
        <f t="shared" si="0"/>
        <v>825000</v>
      </c>
      <c r="G25" s="11"/>
    </row>
    <row r="26" spans="1:7" x14ac:dyDescent="0.25">
      <c r="A26" s="417">
        <v>27000</v>
      </c>
      <c r="B26" s="418" t="s">
        <v>18</v>
      </c>
      <c r="C26" s="419">
        <v>396</v>
      </c>
      <c r="D26" s="420">
        <v>10796.1</v>
      </c>
      <c r="E26" s="416">
        <f t="shared" si="0"/>
        <v>370000</v>
      </c>
      <c r="G26" s="11"/>
    </row>
    <row r="27" spans="1:7" x14ac:dyDescent="0.25">
      <c r="A27" s="417">
        <v>28000</v>
      </c>
      <c r="B27" s="418" t="s">
        <v>19</v>
      </c>
      <c r="C27" s="419">
        <v>727</v>
      </c>
      <c r="D27" s="420">
        <v>24242.5</v>
      </c>
      <c r="E27" s="416">
        <f>ROUND(D27*$E$6+60,-3)</f>
        <v>830000</v>
      </c>
      <c r="G27" s="11"/>
    </row>
    <row r="28" spans="1:7" x14ac:dyDescent="0.25">
      <c r="A28" s="417">
        <v>31000</v>
      </c>
      <c r="B28" s="418" t="s">
        <v>20</v>
      </c>
      <c r="C28" s="419">
        <v>2709</v>
      </c>
      <c r="D28" s="420">
        <v>66194.5</v>
      </c>
      <c r="E28" s="416">
        <f>ROUND(D28*$E$6+50,-3)</f>
        <v>2267000</v>
      </c>
      <c r="G28" s="11"/>
    </row>
    <row r="29" spans="1:7" x14ac:dyDescent="0.25">
      <c r="A29" s="417">
        <v>41000</v>
      </c>
      <c r="B29" s="418" t="s">
        <v>21</v>
      </c>
      <c r="C29" s="419">
        <v>12704</v>
      </c>
      <c r="D29" s="420">
        <v>23010.799999999999</v>
      </c>
      <c r="E29" s="416">
        <f t="shared" si="0"/>
        <v>788000</v>
      </c>
      <c r="G29" s="11"/>
    </row>
    <row r="30" spans="1:7" x14ac:dyDescent="0.25">
      <c r="A30" s="417">
        <v>43000</v>
      </c>
      <c r="B30" s="418" t="s">
        <v>22</v>
      </c>
      <c r="C30" s="419">
        <v>1082</v>
      </c>
      <c r="D30" s="420">
        <v>51003.4</v>
      </c>
      <c r="E30" s="416">
        <f t="shared" si="0"/>
        <v>1746000</v>
      </c>
      <c r="G30" s="11"/>
    </row>
    <row r="31" spans="1:7" x14ac:dyDescent="0.25">
      <c r="A31" s="417">
        <v>51000</v>
      </c>
      <c r="B31" s="418" t="s">
        <v>23</v>
      </c>
      <c r="C31" s="421">
        <v>0</v>
      </c>
      <c r="D31" s="422">
        <v>0</v>
      </c>
      <c r="E31" s="423">
        <f t="shared" si="0"/>
        <v>0</v>
      </c>
      <c r="G31" s="11"/>
    </row>
    <row r="32" spans="1:7" x14ac:dyDescent="0.25">
      <c r="A32" s="417">
        <v>52000</v>
      </c>
      <c r="B32" s="418" t="s">
        <v>24</v>
      </c>
      <c r="C32" s="421">
        <v>0</v>
      </c>
      <c r="D32" s="422">
        <v>0</v>
      </c>
      <c r="E32" s="423">
        <f t="shared" si="0"/>
        <v>0</v>
      </c>
      <c r="G32" s="11"/>
    </row>
    <row r="33" spans="1:7" x14ac:dyDescent="0.25">
      <c r="A33" s="417">
        <v>53000</v>
      </c>
      <c r="B33" s="418" t="s">
        <v>25</v>
      </c>
      <c r="C33" s="421">
        <v>0</v>
      </c>
      <c r="D33" s="422">
        <v>0</v>
      </c>
      <c r="E33" s="423">
        <f t="shared" si="0"/>
        <v>0</v>
      </c>
      <c r="G33" s="11"/>
    </row>
    <row r="34" spans="1:7" x14ac:dyDescent="0.25">
      <c r="A34" s="417">
        <v>54000</v>
      </c>
      <c r="B34" s="418" t="s">
        <v>303</v>
      </c>
      <c r="C34" s="421">
        <v>131</v>
      </c>
      <c r="D34" s="422">
        <v>2161.9</v>
      </c>
      <c r="E34" s="416">
        <f t="shared" si="0"/>
        <v>74000</v>
      </c>
      <c r="G34" s="11"/>
    </row>
    <row r="35" spans="1:7" x14ac:dyDescent="0.25">
      <c r="A35" s="417">
        <v>55000</v>
      </c>
      <c r="B35" s="418" t="s">
        <v>26</v>
      </c>
      <c r="C35" s="419">
        <v>620</v>
      </c>
      <c r="D35" s="420">
        <v>14109.6</v>
      </c>
      <c r="E35" s="416">
        <f t="shared" si="0"/>
        <v>483000</v>
      </c>
      <c r="G35" s="11"/>
    </row>
    <row r="36" spans="1:7" ht="15.75" thickBot="1" x14ac:dyDescent="0.3">
      <c r="A36" s="424">
        <v>56000</v>
      </c>
      <c r="B36" s="425" t="s">
        <v>27</v>
      </c>
      <c r="C36" s="426">
        <v>13</v>
      </c>
      <c r="D36" s="427">
        <v>176.3</v>
      </c>
      <c r="E36" s="423">
        <f t="shared" si="0"/>
        <v>6000</v>
      </c>
      <c r="G36" s="11"/>
    </row>
    <row r="37" spans="1:7" ht="15.75" thickBot="1" x14ac:dyDescent="0.3">
      <c r="A37" s="1110" t="s">
        <v>28</v>
      </c>
      <c r="B37" s="1111"/>
      <c r="C37" s="428">
        <f>SUM(C11:C36)</f>
        <v>43531</v>
      </c>
      <c r="D37" s="429">
        <f t="shared" ref="D37:E37" si="1">SUM(D11:D36)</f>
        <v>730149.20000000007</v>
      </c>
      <c r="E37" s="430">
        <f t="shared" si="1"/>
        <v>25000000</v>
      </c>
    </row>
    <row r="39" spans="1:7" x14ac:dyDescent="0.25">
      <c r="A39" s="618" t="s">
        <v>269</v>
      </c>
    </row>
  </sheetData>
  <mergeCells count="7">
    <mergeCell ref="A1:E1"/>
    <mergeCell ref="A37:B37"/>
    <mergeCell ref="A3:E3"/>
    <mergeCell ref="A9:A10"/>
    <mergeCell ref="B9:B10"/>
    <mergeCell ref="C9:D9"/>
    <mergeCell ref="E9:E10"/>
  </mergeCells>
  <hyperlinks>
    <hyperlink ref="A39" location="'0 Seznam'!A1" display="Seznam" xr:uid="{3C57CCDB-FCED-462A-9703-48B3F5E75C4C}"/>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J42"/>
  <sheetViews>
    <sheetView zoomScale="85" zoomScaleNormal="85" workbookViewId="0">
      <selection activeCell="E11" sqref="E11"/>
    </sheetView>
  </sheetViews>
  <sheetFormatPr defaultRowHeight="15" x14ac:dyDescent="0.25"/>
  <cols>
    <col min="1" max="1" width="10.85546875" customWidth="1"/>
    <col min="2" max="2" width="58.5703125" customWidth="1"/>
    <col min="3" max="5" width="15.7109375" customWidth="1"/>
    <col min="7" max="7" width="18.28515625" customWidth="1"/>
  </cols>
  <sheetData>
    <row r="1" spans="1:10" ht="27.75" customHeight="1" x14ac:dyDescent="0.25">
      <c r="A1" s="1107" t="s">
        <v>153</v>
      </c>
      <c r="B1" s="1107"/>
      <c r="C1" s="1107"/>
      <c r="D1" s="1107"/>
      <c r="E1" s="1107"/>
    </row>
    <row r="2" spans="1:10" ht="15.75" x14ac:dyDescent="0.25">
      <c r="A2" s="399"/>
      <c r="B2" s="399"/>
      <c r="C2" s="399"/>
      <c r="D2" s="399"/>
      <c r="E2" s="399"/>
    </row>
    <row r="3" spans="1:10" ht="48" customHeight="1" x14ac:dyDescent="0.25">
      <c r="A3" s="1112" t="s">
        <v>341</v>
      </c>
      <c r="B3" s="1112"/>
      <c r="C3" s="1112"/>
      <c r="D3" s="1112"/>
      <c r="E3" s="1112"/>
    </row>
    <row r="4" spans="1:10" x14ac:dyDescent="0.25">
      <c r="A4" s="431"/>
      <c r="B4" s="431"/>
      <c r="C4" s="431"/>
      <c r="D4" s="431"/>
      <c r="E4" s="431"/>
    </row>
    <row r="5" spans="1:10" x14ac:dyDescent="0.25">
      <c r="A5" s="432" t="s">
        <v>154</v>
      </c>
      <c r="B5" s="433"/>
      <c r="C5" s="433"/>
      <c r="D5" s="434"/>
      <c r="E5" s="435">
        <f>'1 Bilance'!O43</f>
        <v>100000000</v>
      </c>
    </row>
    <row r="6" spans="1:10" x14ac:dyDescent="0.25">
      <c r="A6" s="432" t="s">
        <v>155</v>
      </c>
      <c r="B6" s="433"/>
      <c r="C6" s="433"/>
      <c r="D6" s="434"/>
      <c r="E6" s="436">
        <f>E5/D37</f>
        <v>0.67140003692700201</v>
      </c>
    </row>
    <row r="7" spans="1:10" ht="27.75" x14ac:dyDescent="0.25">
      <c r="A7" s="437"/>
      <c r="B7" s="438"/>
      <c r="C7" s="437"/>
      <c r="D7" s="439"/>
      <c r="E7" s="437"/>
    </row>
    <row r="8" spans="1:10" ht="15.75" thickBot="1" x14ac:dyDescent="0.3">
      <c r="A8" s="440"/>
      <c r="B8" s="437"/>
      <c r="C8" s="437"/>
      <c r="D8" s="437"/>
      <c r="E8" s="441"/>
    </row>
    <row r="9" spans="1:10" ht="15" customHeight="1" x14ac:dyDescent="0.25">
      <c r="A9" s="1121" t="s">
        <v>2</v>
      </c>
      <c r="B9" s="1123" t="s">
        <v>3</v>
      </c>
      <c r="C9" s="1125" t="s">
        <v>273</v>
      </c>
      <c r="D9" s="1126"/>
      <c r="E9" s="1127" t="s">
        <v>346</v>
      </c>
    </row>
    <row r="10" spans="1:10" ht="45.75" thickBot="1" x14ac:dyDescent="0.3">
      <c r="A10" s="1122"/>
      <c r="B10" s="1124"/>
      <c r="C10" s="582" t="s">
        <v>267</v>
      </c>
      <c r="D10" s="583" t="s">
        <v>156</v>
      </c>
      <c r="E10" s="1128"/>
    </row>
    <row r="11" spans="1:10" x14ac:dyDescent="0.25">
      <c r="A11" s="584">
        <v>11000</v>
      </c>
      <c r="B11" s="585" t="s">
        <v>4</v>
      </c>
      <c r="C11" s="591">
        <v>991</v>
      </c>
      <c r="D11" s="652">
        <v>31231900</v>
      </c>
      <c r="E11" s="605">
        <f>ROUND(D11/$D$37*$E$5,-3)</f>
        <v>20969000</v>
      </c>
      <c r="G11" s="660"/>
      <c r="J11" s="11"/>
    </row>
    <row r="12" spans="1:10" x14ac:dyDescent="0.25">
      <c r="A12" s="586">
        <v>12000</v>
      </c>
      <c r="B12" s="587" t="s">
        <v>5</v>
      </c>
      <c r="C12" s="592">
        <v>124</v>
      </c>
      <c r="D12" s="653">
        <v>4507100</v>
      </c>
      <c r="E12" s="605">
        <f>ROUND(D12/$D$37*$E$5,-3)</f>
        <v>3026000</v>
      </c>
      <c r="G12" s="660"/>
    </row>
    <row r="13" spans="1:10" x14ac:dyDescent="0.25">
      <c r="A13" s="586">
        <v>13000</v>
      </c>
      <c r="B13" s="587" t="s">
        <v>6</v>
      </c>
      <c r="C13" s="593">
        <v>121</v>
      </c>
      <c r="D13" s="653">
        <v>4018000</v>
      </c>
      <c r="E13" s="605">
        <f t="shared" ref="E13:E36" si="0">ROUND(D13/$D$37*$E$5,-3)</f>
        <v>2698000</v>
      </c>
      <c r="G13" s="660"/>
    </row>
    <row r="14" spans="1:10" x14ac:dyDescent="0.25">
      <c r="A14" s="586">
        <v>14000</v>
      </c>
      <c r="B14" s="587" t="s">
        <v>7</v>
      </c>
      <c r="C14" s="601">
        <v>617</v>
      </c>
      <c r="D14" s="653">
        <v>19332150</v>
      </c>
      <c r="E14" s="605">
        <f t="shared" si="0"/>
        <v>12980000</v>
      </c>
      <c r="G14" s="660"/>
    </row>
    <row r="15" spans="1:10" x14ac:dyDescent="0.25">
      <c r="A15" s="586">
        <v>15000</v>
      </c>
      <c r="B15" s="587" t="s">
        <v>8</v>
      </c>
      <c r="C15" s="594">
        <v>359</v>
      </c>
      <c r="D15" s="653">
        <v>13906450</v>
      </c>
      <c r="E15" s="605">
        <f t="shared" si="0"/>
        <v>9337000</v>
      </c>
      <c r="G15" s="660"/>
    </row>
    <row r="16" spans="1:10" x14ac:dyDescent="0.25">
      <c r="A16" s="586">
        <v>16000</v>
      </c>
      <c r="B16" s="587" t="s">
        <v>296</v>
      </c>
      <c r="C16" s="594">
        <v>0</v>
      </c>
      <c r="D16" s="654">
        <v>0</v>
      </c>
      <c r="E16" s="605">
        <f t="shared" si="0"/>
        <v>0</v>
      </c>
      <c r="G16" s="660"/>
    </row>
    <row r="17" spans="1:7" x14ac:dyDescent="0.25">
      <c r="A17" s="586">
        <v>17000</v>
      </c>
      <c r="B17" s="587" t="s">
        <v>9</v>
      </c>
      <c r="C17" s="595">
        <v>187</v>
      </c>
      <c r="D17" s="653">
        <v>6380900</v>
      </c>
      <c r="E17" s="605">
        <f t="shared" si="0"/>
        <v>4284000</v>
      </c>
      <c r="G17" s="660"/>
    </row>
    <row r="18" spans="1:7" x14ac:dyDescent="0.25">
      <c r="A18" s="586">
        <v>18000</v>
      </c>
      <c r="B18" s="587" t="s">
        <v>10</v>
      </c>
      <c r="C18" s="595">
        <v>109</v>
      </c>
      <c r="D18" s="653">
        <v>4110300</v>
      </c>
      <c r="E18" s="605">
        <f t="shared" si="0"/>
        <v>2760000</v>
      </c>
      <c r="G18" s="660"/>
    </row>
    <row r="19" spans="1:7" x14ac:dyDescent="0.25">
      <c r="A19" s="586">
        <v>19000</v>
      </c>
      <c r="B19" s="587" t="s">
        <v>11</v>
      </c>
      <c r="C19" s="596">
        <v>113</v>
      </c>
      <c r="D19" s="653">
        <v>2979900</v>
      </c>
      <c r="E19" s="605">
        <f t="shared" si="0"/>
        <v>2001000</v>
      </c>
      <c r="G19" s="660"/>
    </row>
    <row r="20" spans="1:7" x14ac:dyDescent="0.25">
      <c r="A20" s="586">
        <v>21000</v>
      </c>
      <c r="B20" s="587" t="s">
        <v>12</v>
      </c>
      <c r="C20" s="593">
        <v>247</v>
      </c>
      <c r="D20" s="653">
        <v>6022500</v>
      </c>
      <c r="E20" s="605">
        <f>ROUND(D20/$D$37*$E$5-100,-3)</f>
        <v>4043000</v>
      </c>
      <c r="G20" s="660"/>
    </row>
    <row r="21" spans="1:7" x14ac:dyDescent="0.25">
      <c r="A21" s="586">
        <v>22000</v>
      </c>
      <c r="B21" s="587" t="s">
        <v>13</v>
      </c>
      <c r="C21" s="593">
        <v>90</v>
      </c>
      <c r="D21" s="653">
        <v>2163000</v>
      </c>
      <c r="E21" s="605">
        <f t="shared" si="0"/>
        <v>1452000</v>
      </c>
      <c r="G21" s="660"/>
    </row>
    <row r="22" spans="1:7" x14ac:dyDescent="0.25">
      <c r="A22" s="586">
        <v>23000</v>
      </c>
      <c r="B22" s="587" t="s">
        <v>14</v>
      </c>
      <c r="C22" s="596">
        <v>202</v>
      </c>
      <c r="D22" s="653">
        <v>5380700</v>
      </c>
      <c r="E22" s="605">
        <f t="shared" si="0"/>
        <v>3613000</v>
      </c>
      <c r="G22" s="660"/>
    </row>
    <row r="23" spans="1:7" x14ac:dyDescent="0.25">
      <c r="A23" s="586">
        <v>24000</v>
      </c>
      <c r="B23" s="587" t="s">
        <v>15</v>
      </c>
      <c r="C23" s="595">
        <v>70</v>
      </c>
      <c r="D23" s="653">
        <v>2811300</v>
      </c>
      <c r="E23" s="605">
        <f>ROUND(D23/$D$37*$E$5-100,-3)</f>
        <v>1887000</v>
      </c>
      <c r="G23" s="660"/>
    </row>
    <row r="24" spans="1:7" x14ac:dyDescent="0.25">
      <c r="A24" s="586">
        <v>25000</v>
      </c>
      <c r="B24" s="587" t="s">
        <v>16</v>
      </c>
      <c r="C24" s="597">
        <v>145</v>
      </c>
      <c r="D24" s="653">
        <v>5295100</v>
      </c>
      <c r="E24" s="605">
        <f t="shared" si="0"/>
        <v>3555000</v>
      </c>
      <c r="G24" s="660"/>
    </row>
    <row r="25" spans="1:7" x14ac:dyDescent="0.25">
      <c r="A25" s="586">
        <v>26000</v>
      </c>
      <c r="B25" s="587" t="s">
        <v>17</v>
      </c>
      <c r="C25" s="593">
        <v>341</v>
      </c>
      <c r="D25" s="653">
        <v>8259600</v>
      </c>
      <c r="E25" s="605">
        <f t="shared" si="0"/>
        <v>5545000</v>
      </c>
      <c r="G25" s="660"/>
    </row>
    <row r="26" spans="1:7" x14ac:dyDescent="0.25">
      <c r="A26" s="586">
        <v>27000</v>
      </c>
      <c r="B26" s="587" t="s">
        <v>18</v>
      </c>
      <c r="C26" s="598">
        <v>116</v>
      </c>
      <c r="D26" s="655">
        <v>3639600</v>
      </c>
      <c r="E26" s="605">
        <f t="shared" si="0"/>
        <v>2444000</v>
      </c>
      <c r="G26" s="660"/>
    </row>
    <row r="27" spans="1:7" x14ac:dyDescent="0.25">
      <c r="A27" s="586">
        <v>28000</v>
      </c>
      <c r="B27" s="587" t="s">
        <v>19</v>
      </c>
      <c r="C27" s="599">
        <v>162</v>
      </c>
      <c r="D27" s="653">
        <v>6142200</v>
      </c>
      <c r="E27" s="605">
        <f t="shared" si="0"/>
        <v>4124000</v>
      </c>
      <c r="G27" s="660"/>
    </row>
    <row r="28" spans="1:7" x14ac:dyDescent="0.25">
      <c r="A28" s="586">
        <v>31000</v>
      </c>
      <c r="B28" s="587" t="s">
        <v>20</v>
      </c>
      <c r="C28" s="599">
        <v>137</v>
      </c>
      <c r="D28" s="656">
        <v>3171000</v>
      </c>
      <c r="E28" s="605">
        <f t="shared" si="0"/>
        <v>2129000</v>
      </c>
      <c r="G28" s="660"/>
    </row>
    <row r="29" spans="1:7" x14ac:dyDescent="0.25">
      <c r="A29" s="586">
        <v>41000</v>
      </c>
      <c r="B29" s="587" t="s">
        <v>21</v>
      </c>
      <c r="C29" s="598">
        <v>455</v>
      </c>
      <c r="D29" s="653">
        <v>15900500</v>
      </c>
      <c r="E29" s="605">
        <f t="shared" si="0"/>
        <v>10676000</v>
      </c>
      <c r="G29" s="660"/>
    </row>
    <row r="30" spans="1:7" x14ac:dyDescent="0.25">
      <c r="A30" s="586">
        <v>43000</v>
      </c>
      <c r="B30" s="587" t="s">
        <v>22</v>
      </c>
      <c r="C30" s="598">
        <v>92</v>
      </c>
      <c r="D30" s="653">
        <v>2077000</v>
      </c>
      <c r="E30" s="605">
        <f t="shared" si="0"/>
        <v>1394000</v>
      </c>
      <c r="G30" s="660"/>
    </row>
    <row r="31" spans="1:7" x14ac:dyDescent="0.25">
      <c r="A31" s="586">
        <v>51000</v>
      </c>
      <c r="B31" s="587" t="s">
        <v>23</v>
      </c>
      <c r="C31" s="602">
        <v>0</v>
      </c>
      <c r="D31" s="657">
        <v>0</v>
      </c>
      <c r="E31" s="605">
        <f t="shared" si="0"/>
        <v>0</v>
      </c>
      <c r="G31" s="660"/>
    </row>
    <row r="32" spans="1:7" x14ac:dyDescent="0.25">
      <c r="A32" s="586">
        <v>52000</v>
      </c>
      <c r="B32" s="587" t="s">
        <v>24</v>
      </c>
      <c r="C32" s="602">
        <v>0</v>
      </c>
      <c r="D32" s="658">
        <v>0</v>
      </c>
      <c r="E32" s="605">
        <f t="shared" si="0"/>
        <v>0</v>
      </c>
      <c r="G32" s="660"/>
    </row>
    <row r="33" spans="1:7" x14ac:dyDescent="0.25">
      <c r="A33" s="586">
        <v>53000</v>
      </c>
      <c r="B33" s="587" t="s">
        <v>25</v>
      </c>
      <c r="C33" s="603">
        <v>0</v>
      </c>
      <c r="D33" s="658">
        <v>0</v>
      </c>
      <c r="E33" s="605">
        <f t="shared" si="0"/>
        <v>0</v>
      </c>
      <c r="G33" s="660"/>
    </row>
    <row r="34" spans="1:7" x14ac:dyDescent="0.25">
      <c r="A34" s="586">
        <v>54000</v>
      </c>
      <c r="B34" s="587" t="s">
        <v>303</v>
      </c>
      <c r="C34" s="598">
        <v>2</v>
      </c>
      <c r="D34" s="655">
        <v>165000</v>
      </c>
      <c r="E34" s="605">
        <f t="shared" si="0"/>
        <v>111000</v>
      </c>
      <c r="G34" s="660"/>
    </row>
    <row r="35" spans="1:7" x14ac:dyDescent="0.25">
      <c r="A35" s="586">
        <v>55000</v>
      </c>
      <c r="B35" s="587" t="s">
        <v>26</v>
      </c>
      <c r="C35" s="598">
        <v>24</v>
      </c>
      <c r="D35" s="653">
        <v>728200</v>
      </c>
      <c r="E35" s="605">
        <f t="shared" si="0"/>
        <v>489000</v>
      </c>
      <c r="G35" s="660"/>
    </row>
    <row r="36" spans="1:7" ht="15.75" thickBot="1" x14ac:dyDescent="0.3">
      <c r="A36" s="588">
        <v>56000</v>
      </c>
      <c r="B36" s="442" t="s">
        <v>27</v>
      </c>
      <c r="C36" s="600">
        <v>31</v>
      </c>
      <c r="D36" s="653">
        <v>720100</v>
      </c>
      <c r="E36" s="605">
        <f t="shared" si="0"/>
        <v>483000</v>
      </c>
      <c r="G36" s="660"/>
    </row>
    <row r="37" spans="1:7" ht="15.75" thickBot="1" x14ac:dyDescent="0.3">
      <c r="A37" s="542"/>
      <c r="B37" s="589" t="s">
        <v>28</v>
      </c>
      <c r="C37" s="590">
        <f>SUM(C11:C36)</f>
        <v>4735</v>
      </c>
      <c r="D37" s="604">
        <f t="shared" ref="D37:E37" si="1">SUM(D11:D36)</f>
        <v>148942500</v>
      </c>
      <c r="E37" s="606">
        <f t="shared" si="1"/>
        <v>100000000</v>
      </c>
    </row>
    <row r="39" spans="1:7" x14ac:dyDescent="0.25">
      <c r="B39" s="607" t="s">
        <v>345</v>
      </c>
      <c r="C39" s="608">
        <v>0.76760462834886711</v>
      </c>
    </row>
    <row r="40" spans="1:7" x14ac:dyDescent="0.25">
      <c r="A40" s="618" t="s">
        <v>269</v>
      </c>
      <c r="B40" s="443"/>
      <c r="C40" s="443"/>
      <c r="D40" s="443"/>
      <c r="E40" s="443"/>
    </row>
    <row r="41" spans="1:7" x14ac:dyDescent="0.25">
      <c r="A41" s="443"/>
      <c r="B41" s="443"/>
      <c r="C41" s="444"/>
      <c r="D41" s="443"/>
      <c r="E41" s="443"/>
    </row>
    <row r="42" spans="1:7" x14ac:dyDescent="0.25">
      <c r="A42" s="38"/>
    </row>
  </sheetData>
  <mergeCells count="6">
    <mergeCell ref="A1:E1"/>
    <mergeCell ref="A3:E3"/>
    <mergeCell ref="A9:A10"/>
    <mergeCell ref="B9:B10"/>
    <mergeCell ref="C9:D9"/>
    <mergeCell ref="E9:E10"/>
  </mergeCells>
  <hyperlinks>
    <hyperlink ref="A40" location="'0 Seznam'!A1" display="Seznam" xr:uid="{0DA9AECE-2B88-42F9-9A20-08E8036B6FD5}"/>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T73"/>
  <sheetViews>
    <sheetView showGridLines="0" topLeftCell="A23" zoomScale="70" zoomScaleNormal="70" workbookViewId="0">
      <selection activeCell="B2" sqref="B2"/>
    </sheetView>
  </sheetViews>
  <sheetFormatPr defaultRowHeight="15" x14ac:dyDescent="0.25"/>
  <cols>
    <col min="1" max="1" width="5.7109375" customWidth="1"/>
    <col min="2" max="2" width="4.85546875" bestFit="1" customWidth="1"/>
    <col min="3" max="3" width="7.28515625" customWidth="1"/>
    <col min="4" max="4" width="17.140625" customWidth="1"/>
    <col min="5" max="9" width="23.28515625" customWidth="1"/>
    <col min="10" max="10" width="21" customWidth="1"/>
    <col min="11" max="11" width="18.7109375" customWidth="1"/>
    <col min="12" max="12" width="22.7109375" customWidth="1"/>
    <col min="13" max="14" width="19.42578125" customWidth="1"/>
    <col min="15" max="15" width="22.28515625" customWidth="1"/>
    <col min="16" max="17" width="19.42578125" customWidth="1"/>
    <col min="18" max="18" width="14" bestFit="1" customWidth="1"/>
    <col min="19" max="19" width="18.140625" customWidth="1"/>
    <col min="20" max="20" width="12" bestFit="1" customWidth="1"/>
  </cols>
  <sheetData>
    <row r="1" spans="1:20" ht="27.75" customHeight="1" x14ac:dyDescent="0.25">
      <c r="A1" s="960" t="s">
        <v>306</v>
      </c>
      <c r="B1" s="960"/>
      <c r="C1" s="960"/>
      <c r="D1" s="960"/>
      <c r="E1" s="960"/>
      <c r="F1" s="960"/>
      <c r="G1" s="960"/>
      <c r="H1" s="960"/>
      <c r="I1" s="960"/>
      <c r="J1" s="960"/>
      <c r="K1" s="960"/>
      <c r="L1" s="960"/>
      <c r="M1" s="960"/>
      <c r="N1" s="960"/>
      <c r="O1" s="960"/>
      <c r="P1" s="960"/>
      <c r="Q1" s="960"/>
    </row>
    <row r="2" spans="1:20" x14ac:dyDescent="0.25">
      <c r="A2" s="40" t="s">
        <v>47</v>
      </c>
      <c r="B2" s="41"/>
      <c r="C2" s="41"/>
      <c r="D2" s="41"/>
      <c r="E2" s="41"/>
      <c r="F2" s="41"/>
      <c r="G2" s="41"/>
      <c r="H2" s="41"/>
      <c r="I2" s="41"/>
      <c r="J2" s="41"/>
      <c r="K2" s="41"/>
      <c r="L2" s="41"/>
      <c r="M2" s="41"/>
      <c r="N2" s="41"/>
      <c r="O2" s="42"/>
      <c r="P2" s="42"/>
      <c r="Q2" s="42"/>
    </row>
    <row r="3" spans="1:20" ht="15.75" thickBot="1" x14ac:dyDescent="0.3">
      <c r="A3" s="42"/>
      <c r="B3" s="42"/>
      <c r="C3" s="41"/>
      <c r="D3" s="41"/>
      <c r="E3" s="41"/>
      <c r="F3" s="41"/>
      <c r="G3" s="41"/>
      <c r="H3" s="41"/>
      <c r="I3" s="41"/>
      <c r="J3" s="42"/>
      <c r="K3" s="42"/>
      <c r="L3" s="43"/>
      <c r="M3" s="42"/>
      <c r="N3" s="44"/>
      <c r="O3" s="42"/>
      <c r="P3" s="45" t="s">
        <v>0</v>
      </c>
      <c r="Q3" s="46"/>
    </row>
    <row r="4" spans="1:20" ht="16.5" thickBot="1" x14ac:dyDescent="0.3">
      <c r="A4" s="964" t="s">
        <v>48</v>
      </c>
      <c r="B4" s="965"/>
      <c r="C4" s="965"/>
      <c r="D4" s="965"/>
      <c r="E4" s="47">
        <v>2020</v>
      </c>
      <c r="F4" s="48">
        <v>2021</v>
      </c>
      <c r="G4" s="49">
        <v>2022</v>
      </c>
      <c r="H4" s="524">
        <v>2023</v>
      </c>
      <c r="I4" s="521"/>
      <c r="J4" s="966" t="s">
        <v>48</v>
      </c>
      <c r="K4" s="967"/>
      <c r="L4" s="47">
        <v>2020</v>
      </c>
      <c r="M4" s="48">
        <v>2021</v>
      </c>
      <c r="N4" s="49">
        <v>2022</v>
      </c>
      <c r="O4" s="50">
        <v>2023</v>
      </c>
      <c r="P4" s="51" t="s">
        <v>49</v>
      </c>
      <c r="Q4" s="46"/>
    </row>
    <row r="5" spans="1:20" x14ac:dyDescent="0.25">
      <c r="A5" s="968" t="s">
        <v>50</v>
      </c>
      <c r="B5" s="969"/>
      <c r="C5" s="969"/>
      <c r="D5" s="970"/>
      <c r="E5" s="52">
        <v>49174.493920447378</v>
      </c>
      <c r="F5" s="53">
        <v>47309.413342952932</v>
      </c>
      <c r="G5" s="54">
        <v>48342.069411484525</v>
      </c>
      <c r="H5" s="525">
        <v>49424.151805746857</v>
      </c>
      <c r="I5" s="522"/>
      <c r="J5" s="971" t="s">
        <v>52</v>
      </c>
      <c r="K5" s="972"/>
      <c r="L5" s="55">
        <v>135000</v>
      </c>
      <c r="M5" s="55">
        <v>135000</v>
      </c>
      <c r="N5" s="55">
        <v>135000</v>
      </c>
      <c r="O5" s="56">
        <v>135000</v>
      </c>
      <c r="P5" s="57">
        <f>O5/N5-1</f>
        <v>0</v>
      </c>
      <c r="Q5" s="46"/>
    </row>
    <row r="6" spans="1:20" x14ac:dyDescent="0.25">
      <c r="A6" s="961" t="s">
        <v>53</v>
      </c>
      <c r="B6" s="962"/>
      <c r="C6" s="962"/>
      <c r="D6" s="963"/>
      <c r="E6" s="58" t="s">
        <v>51</v>
      </c>
      <c r="F6" s="58" t="s">
        <v>51</v>
      </c>
      <c r="G6" s="59" t="s">
        <v>51</v>
      </c>
      <c r="H6" s="526" t="s">
        <v>51</v>
      </c>
      <c r="I6" s="522"/>
      <c r="J6" s="938" t="s">
        <v>54</v>
      </c>
      <c r="K6" s="939"/>
      <c r="L6" s="55">
        <v>5400</v>
      </c>
      <c r="M6" s="55">
        <v>5400</v>
      </c>
      <c r="N6" s="55">
        <v>5400</v>
      </c>
      <c r="O6" s="61">
        <v>5400</v>
      </c>
      <c r="P6" s="60">
        <f>O6/N6-1</f>
        <v>0</v>
      </c>
      <c r="Q6" s="46"/>
    </row>
    <row r="7" spans="1:20" ht="15.75" thickBot="1" x14ac:dyDescent="0.3">
      <c r="A7" s="936" t="s">
        <v>55</v>
      </c>
      <c r="B7" s="937"/>
      <c r="C7" s="937"/>
      <c r="D7" s="937"/>
      <c r="E7" s="62" t="s">
        <v>51</v>
      </c>
      <c r="F7" s="63" t="s">
        <v>51</v>
      </c>
      <c r="G7" s="64" t="s">
        <v>51</v>
      </c>
      <c r="H7" s="527" t="s">
        <v>51</v>
      </c>
      <c r="I7" s="523"/>
      <c r="J7" s="938" t="s">
        <v>157</v>
      </c>
      <c r="K7" s="939"/>
      <c r="L7" s="55">
        <v>3650</v>
      </c>
      <c r="M7" s="55">
        <v>3800</v>
      </c>
      <c r="N7" s="55">
        <v>4050</v>
      </c>
      <c r="O7" s="61">
        <v>4325</v>
      </c>
      <c r="P7" s="60">
        <f>O7/N7-1</f>
        <v>6.7901234567901314E-2</v>
      </c>
      <c r="Q7" s="65"/>
    </row>
    <row r="8" spans="1:20" ht="15.75" thickBot="1" x14ac:dyDescent="0.3">
      <c r="A8" s="940"/>
      <c r="B8" s="940"/>
      <c r="C8" s="940"/>
      <c r="D8" s="940"/>
      <c r="E8" s="940"/>
      <c r="F8" s="940"/>
      <c r="G8" s="940"/>
      <c r="H8" s="940"/>
      <c r="I8" s="468"/>
      <c r="J8" s="941" t="s">
        <v>56</v>
      </c>
      <c r="K8" s="942"/>
      <c r="L8" s="66">
        <v>17.95</v>
      </c>
      <c r="M8" s="66">
        <v>17.95</v>
      </c>
      <c r="N8" s="66">
        <v>17.95</v>
      </c>
      <c r="O8" s="67">
        <v>17.95</v>
      </c>
      <c r="P8" s="68">
        <f>O8/N8-1</f>
        <v>0</v>
      </c>
    </row>
    <row r="9" spans="1:20" ht="15.75" thickBot="1" x14ac:dyDescent="0.3">
      <c r="A9" s="943"/>
      <c r="B9" s="943"/>
      <c r="C9" s="943"/>
      <c r="D9" s="943"/>
      <c r="E9" s="943"/>
      <c r="F9" s="943"/>
      <c r="G9" s="943"/>
      <c r="H9" s="943"/>
      <c r="I9" s="943"/>
      <c r="J9" s="69"/>
      <c r="K9" s="69"/>
      <c r="L9" s="69"/>
      <c r="M9" s="69"/>
      <c r="N9" s="69"/>
      <c r="O9" s="42"/>
      <c r="P9" s="42"/>
      <c r="Q9" s="45" t="s">
        <v>0</v>
      </c>
    </row>
    <row r="10" spans="1:20" x14ac:dyDescent="0.25">
      <c r="A10" s="944" t="s">
        <v>158</v>
      </c>
      <c r="B10" s="946" t="s">
        <v>159</v>
      </c>
      <c r="C10" s="948" t="s">
        <v>57</v>
      </c>
      <c r="D10" s="949"/>
      <c r="E10" s="949"/>
      <c r="F10" s="949"/>
      <c r="G10" s="950"/>
      <c r="H10" s="957" t="s">
        <v>95</v>
      </c>
      <c r="I10" s="957" t="s">
        <v>202</v>
      </c>
      <c r="J10" s="924" t="s">
        <v>58</v>
      </c>
      <c r="K10" s="927" t="s">
        <v>59</v>
      </c>
      <c r="L10" s="930" t="s">
        <v>284</v>
      </c>
      <c r="M10" s="933" t="s">
        <v>60</v>
      </c>
      <c r="N10" s="918" t="s">
        <v>61</v>
      </c>
      <c r="O10" s="921" t="s">
        <v>307</v>
      </c>
      <c r="P10" s="906" t="s">
        <v>62</v>
      </c>
      <c r="Q10" s="909" t="s">
        <v>63</v>
      </c>
    </row>
    <row r="11" spans="1:20" x14ac:dyDescent="0.25">
      <c r="A11" s="945"/>
      <c r="B11" s="947"/>
      <c r="C11" s="951"/>
      <c r="D11" s="952"/>
      <c r="E11" s="952"/>
      <c r="F11" s="952"/>
      <c r="G11" s="953"/>
      <c r="H11" s="958"/>
      <c r="I11" s="958"/>
      <c r="J11" s="925"/>
      <c r="K11" s="928"/>
      <c r="L11" s="931"/>
      <c r="M11" s="934"/>
      <c r="N11" s="919"/>
      <c r="O11" s="922"/>
      <c r="P11" s="907"/>
      <c r="Q11" s="910"/>
    </row>
    <row r="12" spans="1:20" ht="15.75" thickBot="1" x14ac:dyDescent="0.3">
      <c r="A12" s="945"/>
      <c r="B12" s="947"/>
      <c r="C12" s="954"/>
      <c r="D12" s="955"/>
      <c r="E12" s="955"/>
      <c r="F12" s="955"/>
      <c r="G12" s="956"/>
      <c r="H12" s="959"/>
      <c r="I12" s="959"/>
      <c r="J12" s="926"/>
      <c r="K12" s="929"/>
      <c r="L12" s="932"/>
      <c r="M12" s="935"/>
      <c r="N12" s="920"/>
      <c r="O12" s="923"/>
      <c r="P12" s="908"/>
      <c r="Q12" s="911"/>
    </row>
    <row r="13" spans="1:20" ht="15.75" thickBot="1" x14ac:dyDescent="0.3">
      <c r="A13" s="70"/>
      <c r="B13" s="71"/>
      <c r="C13" s="912">
        <v>1</v>
      </c>
      <c r="D13" s="913"/>
      <c r="E13" s="913"/>
      <c r="F13" s="913"/>
      <c r="G13" s="913"/>
      <c r="H13" s="72">
        <v>2</v>
      </c>
      <c r="I13" s="72">
        <v>3</v>
      </c>
      <c r="J13" s="73">
        <v>4</v>
      </c>
      <c r="K13" s="74">
        <v>5</v>
      </c>
      <c r="L13" s="75">
        <v>6</v>
      </c>
      <c r="M13" s="73">
        <v>7</v>
      </c>
      <c r="N13" s="76">
        <v>8</v>
      </c>
      <c r="O13" s="77">
        <v>9</v>
      </c>
      <c r="P13" s="73">
        <v>10</v>
      </c>
      <c r="Q13" s="76">
        <v>11</v>
      </c>
    </row>
    <row r="14" spans="1:20" x14ac:dyDescent="0.25">
      <c r="A14" s="78"/>
      <c r="B14" s="79"/>
      <c r="C14" s="80"/>
      <c r="D14" s="42"/>
      <c r="E14" s="42"/>
      <c r="F14" s="42"/>
      <c r="G14" s="42"/>
      <c r="H14" s="81"/>
      <c r="I14" s="81"/>
      <c r="J14" s="82"/>
      <c r="K14" s="83"/>
      <c r="L14" s="84"/>
      <c r="M14" s="82"/>
      <c r="N14" s="85"/>
      <c r="O14" s="86"/>
      <c r="P14" s="82"/>
      <c r="Q14" s="85"/>
    </row>
    <row r="15" spans="1:20" ht="15.75" thickBot="1" x14ac:dyDescent="0.3">
      <c r="A15" s="78"/>
      <c r="B15" s="79"/>
      <c r="C15" s="87" t="s">
        <v>64</v>
      </c>
      <c r="D15" s="42"/>
      <c r="E15" s="42"/>
      <c r="F15" s="42"/>
      <c r="G15" s="42"/>
      <c r="H15" s="81"/>
      <c r="I15" s="81"/>
      <c r="J15" s="82"/>
      <c r="K15" s="83"/>
      <c r="L15" s="88"/>
      <c r="M15" s="82"/>
      <c r="N15" s="85"/>
      <c r="O15" s="89"/>
      <c r="P15" s="82"/>
      <c r="Q15" s="85"/>
    </row>
    <row r="16" spans="1:20" x14ac:dyDescent="0.25">
      <c r="A16" s="90" t="s">
        <v>65</v>
      </c>
      <c r="B16" s="91"/>
      <c r="C16" s="914" t="s">
        <v>41</v>
      </c>
      <c r="D16" s="915"/>
      <c r="E16" s="915"/>
      <c r="F16" s="915"/>
      <c r="G16" s="915"/>
      <c r="H16" s="92">
        <v>16795401074</v>
      </c>
      <c r="I16" s="92">
        <v>17395401074</v>
      </c>
      <c r="J16" s="93">
        <f>I16/$I$56</f>
        <v>0.86351564305634365</v>
      </c>
      <c r="K16" s="94">
        <f>I16/H16-1</f>
        <v>3.5724065019728801E-2</v>
      </c>
      <c r="L16" s="95">
        <v>17965561474</v>
      </c>
      <c r="M16" s="93">
        <f>L16/$L$56</f>
        <v>0.65736981187553711</v>
      </c>
      <c r="N16" s="96">
        <f>L16/I16-1</f>
        <v>3.2776502109640226E-2</v>
      </c>
      <c r="O16" s="97">
        <v>17965561474</v>
      </c>
      <c r="P16" s="93">
        <f>O16/$O$57</f>
        <v>0.62744661075991914</v>
      </c>
      <c r="Q16" s="96">
        <f>O16/L16-1</f>
        <v>0</v>
      </c>
      <c r="R16" s="11"/>
      <c r="S16" s="467"/>
      <c r="T16" s="467"/>
    </row>
    <row r="17" spans="1:20" x14ac:dyDescent="0.25">
      <c r="A17" s="98" t="s">
        <v>65</v>
      </c>
      <c r="B17" s="99"/>
      <c r="C17" s="916" t="s">
        <v>42</v>
      </c>
      <c r="D17" s="917"/>
      <c r="E17" s="917"/>
      <c r="F17" s="917"/>
      <c r="G17" s="917"/>
      <c r="H17" s="100">
        <v>3476658158</v>
      </c>
      <c r="I17" s="100">
        <v>3476658158</v>
      </c>
      <c r="J17" s="101">
        <f>I17/$I$56</f>
        <v>0.17258289660705831</v>
      </c>
      <c r="K17" s="102">
        <f>I17/H17-1</f>
        <v>0</v>
      </c>
      <c r="L17" s="103">
        <v>3821738358</v>
      </c>
      <c r="M17" s="101">
        <f>L17/$L$56</f>
        <v>0.13983951623620622</v>
      </c>
      <c r="N17" s="104">
        <f>L17/I17-1</f>
        <v>9.9256292772399668E-2</v>
      </c>
      <c r="O17" s="105">
        <v>4321738358</v>
      </c>
      <c r="P17" s="101">
        <f>O17/$O$57</f>
        <v>0.15093656211316239</v>
      </c>
      <c r="Q17" s="104">
        <f>O17/L17-1</f>
        <v>0.13083051563520987</v>
      </c>
      <c r="R17" s="11"/>
      <c r="S17" s="467"/>
      <c r="T17" s="467"/>
    </row>
    <row r="18" spans="1:20" ht="15.75" thickBot="1" x14ac:dyDescent="0.3">
      <c r="A18" s="106" t="s">
        <v>65</v>
      </c>
      <c r="B18" s="107"/>
      <c r="C18" s="469" t="s">
        <v>1</v>
      </c>
      <c r="D18" s="470"/>
      <c r="E18" s="470"/>
      <c r="F18" s="470"/>
      <c r="G18" s="470"/>
      <c r="H18" s="108">
        <v>706800000</v>
      </c>
      <c r="I18" s="108">
        <v>736800000</v>
      </c>
      <c r="J18" s="109"/>
      <c r="K18" s="110"/>
      <c r="L18" s="111">
        <v>836800000</v>
      </c>
      <c r="M18" s="109"/>
      <c r="N18" s="112"/>
      <c r="O18" s="113">
        <v>848800000</v>
      </c>
      <c r="P18" s="109">
        <f>O18/$O$57</f>
        <v>2.9644310531778895E-2</v>
      </c>
      <c r="Q18" s="112">
        <f>O18/L18-1</f>
        <v>1.4340344168260133E-2</v>
      </c>
      <c r="R18" s="11"/>
      <c r="S18" s="11"/>
    </row>
    <row r="19" spans="1:20" ht="15.75" thickBot="1" x14ac:dyDescent="0.3">
      <c r="A19" s="114"/>
      <c r="B19" s="115"/>
      <c r="C19" s="899" t="s">
        <v>66</v>
      </c>
      <c r="D19" s="900"/>
      <c r="E19" s="900"/>
      <c r="F19" s="900"/>
      <c r="G19" s="900"/>
      <c r="H19" s="116">
        <f>SUM(H16:H18)</f>
        <v>20978859232</v>
      </c>
      <c r="I19" s="116">
        <f>SUM(I16:I18)</f>
        <v>21608859232</v>
      </c>
      <c r="J19" s="117">
        <f>I19/$I$56</f>
        <v>1.0726736277051985</v>
      </c>
      <c r="K19" s="118">
        <f>I19/H19-1</f>
        <v>3.0030231531323226E-2</v>
      </c>
      <c r="L19" s="119">
        <f>SUM(L16:L18)</f>
        <v>22624099832</v>
      </c>
      <c r="M19" s="117">
        <f>L19/$L$57</f>
        <v>0.82782830205105173</v>
      </c>
      <c r="N19" s="120">
        <f>L19/I19-1</f>
        <v>4.698260972964996E-2</v>
      </c>
      <c r="O19" s="121">
        <f>SUM(O16:O18)</f>
        <v>23136099832</v>
      </c>
      <c r="P19" s="117">
        <f>O19/$O$57</f>
        <v>0.80802748340486041</v>
      </c>
      <c r="Q19" s="120">
        <f>O19/L19-1</f>
        <v>2.2630734650304962E-2</v>
      </c>
      <c r="R19" s="11"/>
      <c r="S19" s="11"/>
    </row>
    <row r="20" spans="1:20" x14ac:dyDescent="0.25">
      <c r="A20" s="78"/>
      <c r="B20" s="79"/>
      <c r="C20" s="80"/>
      <c r="D20" s="42"/>
      <c r="E20" s="42"/>
      <c r="F20" s="42"/>
      <c r="G20" s="42"/>
      <c r="H20" s="122"/>
      <c r="I20" s="122"/>
      <c r="J20" s="123"/>
      <c r="K20" s="124"/>
      <c r="L20" s="125"/>
      <c r="M20" s="123"/>
      <c r="N20" s="126"/>
      <c r="O20" s="127"/>
      <c r="P20" s="123"/>
      <c r="Q20" s="126"/>
      <c r="R20" s="11"/>
    </row>
    <row r="21" spans="1:20" ht="15.75" thickBot="1" x14ac:dyDescent="0.3">
      <c r="A21" s="78"/>
      <c r="B21" s="79"/>
      <c r="C21" s="80" t="s">
        <v>67</v>
      </c>
      <c r="D21" s="42"/>
      <c r="E21" s="42"/>
      <c r="F21" s="42"/>
      <c r="G21" s="42"/>
      <c r="H21" s="122"/>
      <c r="I21" s="122"/>
      <c r="J21" s="128"/>
      <c r="K21" s="128"/>
      <c r="L21" s="125"/>
      <c r="M21" s="128"/>
      <c r="N21" s="129"/>
      <c r="O21" s="127"/>
      <c r="P21" s="128"/>
      <c r="Q21" s="129"/>
      <c r="R21" s="11"/>
    </row>
    <row r="22" spans="1:20" x14ac:dyDescent="0.25">
      <c r="A22" s="90" t="s">
        <v>65</v>
      </c>
      <c r="B22" s="91"/>
      <c r="C22" s="893" t="s">
        <v>68</v>
      </c>
      <c r="D22" s="894"/>
      <c r="E22" s="894"/>
      <c r="F22" s="894"/>
      <c r="G22" s="894"/>
      <c r="H22" s="130">
        <v>1463130000</v>
      </c>
      <c r="I22" s="130">
        <v>1748385000</v>
      </c>
      <c r="J22" s="131">
        <f t="shared" ref="J22:J28" si="0">I22/$I$56</f>
        <v>8.6790628808301615E-2</v>
      </c>
      <c r="K22" s="132">
        <f t="shared" ref="K22:K28" si="1">I22/H22-1</f>
        <v>0.19496217014209272</v>
      </c>
      <c r="L22" s="133">
        <v>1738530000</v>
      </c>
      <c r="M22" s="131">
        <f t="shared" ref="M22:M27" si="2">L22/$L$56</f>
        <v>6.3613772421971651E-2</v>
      </c>
      <c r="N22" s="134">
        <f t="shared" ref="N22:N28" si="3">L22/I22-1</f>
        <v>-5.6366303760327918E-3</v>
      </c>
      <c r="O22" s="135">
        <v>1678725000</v>
      </c>
      <c r="P22" s="131">
        <f t="shared" ref="P22:P28" si="4">O22/$O$57</f>
        <v>5.8629412343850766E-2</v>
      </c>
      <c r="Q22" s="134">
        <f t="shared" ref="Q22:Q28" si="5">O22/L22-1</f>
        <v>-3.4399751514210264E-2</v>
      </c>
      <c r="R22" s="11"/>
      <c r="S22" s="11"/>
    </row>
    <row r="23" spans="1:20" x14ac:dyDescent="0.25">
      <c r="A23" s="136"/>
      <c r="B23" s="137" t="s">
        <v>69</v>
      </c>
      <c r="C23" s="895" t="s">
        <v>70</v>
      </c>
      <c r="D23" s="896"/>
      <c r="E23" s="896"/>
      <c r="F23" s="896"/>
      <c r="G23" s="896"/>
      <c r="H23" s="138">
        <v>120000000</v>
      </c>
      <c r="I23" s="138">
        <v>120000000</v>
      </c>
      <c r="J23" s="139">
        <f t="shared" si="0"/>
        <v>5.9568547299343076E-3</v>
      </c>
      <c r="K23" s="140">
        <f t="shared" si="1"/>
        <v>0</v>
      </c>
      <c r="L23" s="141">
        <v>115000000</v>
      </c>
      <c r="M23" s="139">
        <f t="shared" si="2"/>
        <v>4.2079134835330649E-3</v>
      </c>
      <c r="N23" s="142">
        <f t="shared" si="3"/>
        <v>-4.166666666666663E-2</v>
      </c>
      <c r="O23" s="143">
        <v>120000000</v>
      </c>
      <c r="P23" s="139">
        <f t="shared" si="4"/>
        <v>4.1909958338989953E-3</v>
      </c>
      <c r="Q23" s="142">
        <f t="shared" si="5"/>
        <v>4.3478260869565188E-2</v>
      </c>
      <c r="R23" s="11"/>
      <c r="S23" s="11"/>
    </row>
    <row r="24" spans="1:20" x14ac:dyDescent="0.25">
      <c r="A24" s="136" t="s">
        <v>65</v>
      </c>
      <c r="B24" s="137"/>
      <c r="C24" s="895" t="s">
        <v>71</v>
      </c>
      <c r="D24" s="896"/>
      <c r="E24" s="896"/>
      <c r="F24" s="896"/>
      <c r="G24" s="896"/>
      <c r="H24" s="138">
        <v>20000000</v>
      </c>
      <c r="I24" s="138">
        <v>20000000</v>
      </c>
      <c r="J24" s="139">
        <f t="shared" si="0"/>
        <v>9.9280912165571793E-4</v>
      </c>
      <c r="K24" s="140">
        <f t="shared" si="1"/>
        <v>0</v>
      </c>
      <c r="L24" s="141">
        <v>20000000</v>
      </c>
      <c r="M24" s="139">
        <f t="shared" si="2"/>
        <v>7.3181104061444601E-4</v>
      </c>
      <c r="N24" s="142">
        <f t="shared" si="3"/>
        <v>0</v>
      </c>
      <c r="O24" s="143">
        <v>24000000</v>
      </c>
      <c r="P24" s="139">
        <f t="shared" si="4"/>
        <v>8.3819916677979915E-4</v>
      </c>
      <c r="Q24" s="142">
        <f t="shared" si="5"/>
        <v>0.19999999999999996</v>
      </c>
      <c r="R24" s="11"/>
      <c r="S24" s="11"/>
    </row>
    <row r="25" spans="1:20" x14ac:dyDescent="0.25">
      <c r="A25" s="136"/>
      <c r="B25" s="137" t="s">
        <v>69</v>
      </c>
      <c r="C25" s="895" t="s">
        <v>169</v>
      </c>
      <c r="D25" s="896"/>
      <c r="E25" s="896"/>
      <c r="F25" s="896"/>
      <c r="G25" s="896"/>
      <c r="H25" s="138">
        <v>2000000</v>
      </c>
      <c r="I25" s="138">
        <v>2000000</v>
      </c>
      <c r="J25" s="139">
        <f t="shared" si="0"/>
        <v>9.9280912165571793E-5</v>
      </c>
      <c r="K25" s="140">
        <f t="shared" si="1"/>
        <v>0</v>
      </c>
      <c r="L25" s="141">
        <v>2000000</v>
      </c>
      <c r="M25" s="139">
        <f t="shared" si="2"/>
        <v>7.3181104061444604E-5</v>
      </c>
      <c r="N25" s="142">
        <f t="shared" si="3"/>
        <v>0</v>
      </c>
      <c r="O25" s="143">
        <v>2000000</v>
      </c>
      <c r="P25" s="139">
        <f t="shared" si="4"/>
        <v>6.9849930564983267E-5</v>
      </c>
      <c r="Q25" s="142">
        <f t="shared" si="5"/>
        <v>0</v>
      </c>
      <c r="R25" s="11"/>
      <c r="S25" s="11"/>
    </row>
    <row r="26" spans="1:20" x14ac:dyDescent="0.25">
      <c r="A26" s="136" t="s">
        <v>65</v>
      </c>
      <c r="B26" s="137"/>
      <c r="C26" s="895" t="s">
        <v>72</v>
      </c>
      <c r="D26" s="896"/>
      <c r="E26" s="896"/>
      <c r="F26" s="896"/>
      <c r="G26" s="896"/>
      <c r="H26" s="138">
        <v>674784000</v>
      </c>
      <c r="I26" s="138">
        <v>764310600</v>
      </c>
      <c r="J26" s="139">
        <f t="shared" si="0"/>
        <v>3.7940726772907739E-2</v>
      </c>
      <c r="K26" s="140">
        <f t="shared" si="1"/>
        <v>0.13267445582586435</v>
      </c>
      <c r="L26" s="141">
        <v>796829400</v>
      </c>
      <c r="M26" s="139">
        <f t="shared" si="2"/>
        <v>2.9156427620309233E-2</v>
      </c>
      <c r="N26" s="142">
        <f t="shared" si="3"/>
        <v>4.2546577268456121E-2</v>
      </c>
      <c r="O26" s="143">
        <v>785019600</v>
      </c>
      <c r="P26" s="139">
        <f t="shared" si="4"/>
        <v>2.7416782276075465E-2</v>
      </c>
      <c r="Q26" s="142">
        <f t="shared" si="5"/>
        <v>-1.4820989285786901E-2</v>
      </c>
      <c r="R26" s="11"/>
      <c r="S26" s="11"/>
    </row>
    <row r="27" spans="1:20" ht="15.75" thickBot="1" x14ac:dyDescent="0.3">
      <c r="A27" s="106"/>
      <c r="B27" s="144" t="s">
        <v>69</v>
      </c>
      <c r="C27" s="897" t="s">
        <v>168</v>
      </c>
      <c r="D27" s="898"/>
      <c r="E27" s="898"/>
      <c r="F27" s="898"/>
      <c r="G27" s="898"/>
      <c r="H27" s="145">
        <v>25000000</v>
      </c>
      <c r="I27" s="145">
        <v>25000000</v>
      </c>
      <c r="J27" s="146">
        <f t="shared" si="0"/>
        <v>1.2410114020696473E-3</v>
      </c>
      <c r="K27" s="110">
        <f t="shared" si="1"/>
        <v>0</v>
      </c>
      <c r="L27" s="147">
        <v>25000000</v>
      </c>
      <c r="M27" s="146">
        <f t="shared" si="2"/>
        <v>9.1476380076805763E-4</v>
      </c>
      <c r="N27" s="148">
        <f t="shared" si="3"/>
        <v>0</v>
      </c>
      <c r="O27" s="149">
        <v>25000000</v>
      </c>
      <c r="P27" s="146">
        <f t="shared" si="4"/>
        <v>8.7312413206229076E-4</v>
      </c>
      <c r="Q27" s="148">
        <f t="shared" si="5"/>
        <v>0</v>
      </c>
      <c r="R27" s="11"/>
      <c r="S27" s="11"/>
    </row>
    <row r="28" spans="1:20" ht="15.75" thickBot="1" x14ac:dyDescent="0.3">
      <c r="A28" s="114"/>
      <c r="B28" s="115"/>
      <c r="C28" s="899" t="s">
        <v>73</v>
      </c>
      <c r="D28" s="900"/>
      <c r="E28" s="900"/>
      <c r="F28" s="900"/>
      <c r="G28" s="900"/>
      <c r="H28" s="116">
        <f>SUM(H22:H27)</f>
        <v>2304914000</v>
      </c>
      <c r="I28" s="116">
        <f>SUM(I22:I27)</f>
        <v>2679695600</v>
      </c>
      <c r="J28" s="117">
        <f t="shared" si="0"/>
        <v>0.1330213117470346</v>
      </c>
      <c r="K28" s="118">
        <f t="shared" si="1"/>
        <v>0.16260112090950041</v>
      </c>
      <c r="L28" s="119">
        <f>SUM(L22:L27)</f>
        <v>2697359400</v>
      </c>
      <c r="M28" s="117">
        <f>L28/$L$57</f>
        <v>9.8697869471257887E-2</v>
      </c>
      <c r="N28" s="120">
        <f t="shared" si="3"/>
        <v>6.5917188504545088E-3</v>
      </c>
      <c r="O28" s="121">
        <f>SUM(O22:O27)</f>
        <v>2634744600</v>
      </c>
      <c r="P28" s="117">
        <f t="shared" si="4"/>
        <v>9.2018363683232296E-2</v>
      </c>
      <c r="Q28" s="120">
        <f t="shared" si="5"/>
        <v>-2.3213369341883006E-2</v>
      </c>
      <c r="R28" s="11"/>
      <c r="S28" s="11"/>
    </row>
    <row r="29" spans="1:20" x14ac:dyDescent="0.25">
      <c r="A29" s="78"/>
      <c r="B29" s="79"/>
      <c r="C29" s="80"/>
      <c r="D29" s="42"/>
      <c r="E29" s="42"/>
      <c r="F29" s="42"/>
      <c r="G29" s="42"/>
      <c r="H29" s="122"/>
      <c r="I29" s="122"/>
      <c r="J29" s="123"/>
      <c r="K29" s="128"/>
      <c r="L29" s="125"/>
      <c r="M29" s="123"/>
      <c r="N29" s="129"/>
      <c r="O29" s="127"/>
      <c r="P29" s="123"/>
      <c r="Q29" s="129"/>
      <c r="R29" s="11"/>
    </row>
    <row r="30" spans="1:20" x14ac:dyDescent="0.25">
      <c r="A30" s="78"/>
      <c r="B30" s="79"/>
      <c r="C30" s="87" t="s">
        <v>74</v>
      </c>
      <c r="D30" s="42"/>
      <c r="E30" s="42"/>
      <c r="F30" s="42"/>
      <c r="G30" s="42"/>
      <c r="H30" s="122"/>
      <c r="I30" s="122"/>
      <c r="J30" s="128"/>
      <c r="K30" s="128"/>
      <c r="L30" s="125"/>
      <c r="M30" s="128"/>
      <c r="N30" s="129"/>
      <c r="O30" s="127"/>
      <c r="P30" s="128"/>
      <c r="Q30" s="129"/>
      <c r="R30" s="11"/>
    </row>
    <row r="31" spans="1:20" x14ac:dyDescent="0.25">
      <c r="A31" s="98" t="s">
        <v>65</v>
      </c>
      <c r="B31" s="150" t="s">
        <v>69</v>
      </c>
      <c r="C31" s="895" t="s">
        <v>75</v>
      </c>
      <c r="D31" s="896"/>
      <c r="E31" s="896"/>
      <c r="F31" s="896"/>
      <c r="G31" s="896"/>
      <c r="H31" s="138">
        <v>1195000000</v>
      </c>
      <c r="I31" s="138">
        <v>1420000000</v>
      </c>
      <c r="J31" s="139">
        <f>I31/$I$56</f>
        <v>7.0489447637555977E-2</v>
      </c>
      <c r="K31" s="140">
        <f>I31/H31-1</f>
        <v>0.18828451882845187</v>
      </c>
      <c r="L31" s="141">
        <v>1399232643</v>
      </c>
      <c r="M31" s="139">
        <f>L31/$L$56</f>
        <v>5.1198694826776588E-2</v>
      </c>
      <c r="N31" s="151">
        <f>L31/I31-1</f>
        <v>-1.4624899295774596E-2</v>
      </c>
      <c r="O31" s="143">
        <v>1399232643</v>
      </c>
      <c r="P31" s="139">
        <f>O31/$O$57</f>
        <v>4.8868151478904005E-2</v>
      </c>
      <c r="Q31" s="151">
        <f>O31/L31-1</f>
        <v>0</v>
      </c>
      <c r="R31" s="11"/>
    </row>
    <row r="32" spans="1:20" x14ac:dyDescent="0.25">
      <c r="A32" s="136" t="s">
        <v>65</v>
      </c>
      <c r="B32" s="137"/>
      <c r="C32" s="150" t="s">
        <v>160</v>
      </c>
      <c r="D32" s="152" t="s">
        <v>298</v>
      </c>
      <c r="E32" s="79"/>
      <c r="F32" s="79"/>
      <c r="G32" s="79"/>
      <c r="H32" s="153">
        <v>1035000000</v>
      </c>
      <c r="I32" s="153">
        <v>1235000000</v>
      </c>
      <c r="J32" s="139">
        <f>I32/$I$56</f>
        <v>6.1305963262240581E-2</v>
      </c>
      <c r="K32" s="140">
        <f>I32/H32-1</f>
        <v>0.19323671497584538</v>
      </c>
      <c r="L32" s="154">
        <v>1239232643</v>
      </c>
      <c r="M32" s="139">
        <f>L32/$L$56</f>
        <v>4.5344206501861016E-2</v>
      </c>
      <c r="N32" s="151">
        <f>L32/I32-1</f>
        <v>3.4272412955465015E-3</v>
      </c>
      <c r="O32" s="155">
        <v>1239232643</v>
      </c>
      <c r="P32" s="139">
        <f>O32/$O$57</f>
        <v>4.3280157033705344E-2</v>
      </c>
      <c r="Q32" s="151">
        <f>O32/L32-1</f>
        <v>0</v>
      </c>
      <c r="R32" s="11"/>
    </row>
    <row r="33" spans="1:19" x14ac:dyDescent="0.25">
      <c r="A33" s="136"/>
      <c r="B33" s="137" t="s">
        <v>69</v>
      </c>
      <c r="C33" s="156"/>
      <c r="D33" s="157" t="s">
        <v>76</v>
      </c>
      <c r="E33" s="158"/>
      <c r="F33" s="158"/>
      <c r="G33" s="159"/>
      <c r="H33" s="160">
        <v>160000000</v>
      </c>
      <c r="I33" s="161">
        <v>185000000</v>
      </c>
      <c r="J33" s="139">
        <f>I33/$I$56</f>
        <v>9.1834843753153903E-3</v>
      </c>
      <c r="K33" s="140">
        <f>I33/H33-1</f>
        <v>0.15625</v>
      </c>
      <c r="L33" s="162">
        <v>160000000</v>
      </c>
      <c r="M33" s="139">
        <f>L33/$L$56</f>
        <v>5.8544883249155681E-3</v>
      </c>
      <c r="N33" s="151">
        <f>L33/I33-1</f>
        <v>-0.13513513513513509</v>
      </c>
      <c r="O33" s="163">
        <v>160000000</v>
      </c>
      <c r="P33" s="139">
        <f>O33/$O$57</f>
        <v>5.5879944451986607E-3</v>
      </c>
      <c r="Q33" s="151">
        <f>O33/L33-1</f>
        <v>0</v>
      </c>
      <c r="R33" s="11"/>
      <c r="S33" s="11"/>
    </row>
    <row r="34" spans="1:19" x14ac:dyDescent="0.25">
      <c r="A34" s="136"/>
      <c r="B34" s="137" t="s">
        <v>69</v>
      </c>
      <c r="C34" s="164"/>
      <c r="D34" s="157" t="s">
        <v>77</v>
      </c>
      <c r="E34" s="158"/>
      <c r="F34" s="158"/>
      <c r="G34" s="159"/>
      <c r="H34" s="160"/>
      <c r="I34" s="161"/>
      <c r="J34" s="139"/>
      <c r="K34" s="140"/>
      <c r="L34" s="162">
        <v>0</v>
      </c>
      <c r="M34" s="139"/>
      <c r="N34" s="151"/>
      <c r="O34" s="163">
        <v>0</v>
      </c>
      <c r="P34" s="139">
        <f>O34/$O$57</f>
        <v>0</v>
      </c>
      <c r="Q34" s="151"/>
      <c r="R34" s="11"/>
      <c r="S34" s="11"/>
    </row>
    <row r="35" spans="1:19" ht="15.75" thickBot="1" x14ac:dyDescent="0.3">
      <c r="A35" s="114"/>
      <c r="B35" s="115"/>
      <c r="C35" s="901" t="s">
        <v>78</v>
      </c>
      <c r="D35" s="902"/>
      <c r="E35" s="902"/>
      <c r="F35" s="902"/>
      <c r="G35" s="902"/>
      <c r="H35" s="116">
        <f>SUM(H31)</f>
        <v>1195000000</v>
      </c>
      <c r="I35" s="116">
        <f>SUM(I31)</f>
        <v>1420000000</v>
      </c>
      <c r="J35" s="117">
        <f>I35/$I$56</f>
        <v>7.0489447637555977E-2</v>
      </c>
      <c r="K35" s="118">
        <f>I35/H35-1</f>
        <v>0.18828451882845187</v>
      </c>
      <c r="L35" s="119">
        <f>SUM(L31)</f>
        <v>1399232643</v>
      </c>
      <c r="M35" s="117">
        <f>L35/$L$57</f>
        <v>5.1198694826776588E-2</v>
      </c>
      <c r="N35" s="120">
        <f>L35/I35-1</f>
        <v>-1.4624899295774596E-2</v>
      </c>
      <c r="O35" s="121">
        <f>SUM(O31)</f>
        <v>1399232643</v>
      </c>
      <c r="P35" s="117">
        <f>O35/$O$57</f>
        <v>4.8868151478904005E-2</v>
      </c>
      <c r="Q35" s="120">
        <f>O35/L35-1</f>
        <v>0</v>
      </c>
      <c r="R35" s="11"/>
      <c r="S35" s="11"/>
    </row>
    <row r="36" spans="1:19" x14ac:dyDescent="0.25">
      <c r="A36" s="78"/>
      <c r="B36" s="79"/>
      <c r="C36" s="80"/>
      <c r="D36" s="42"/>
      <c r="E36" s="42"/>
      <c r="F36" s="42"/>
      <c r="G36" s="42"/>
      <c r="H36" s="122"/>
      <c r="I36" s="122"/>
      <c r="J36" s="123"/>
      <c r="K36" s="128"/>
      <c r="L36" s="125"/>
      <c r="M36" s="123"/>
      <c r="N36" s="129"/>
      <c r="O36" s="127"/>
      <c r="P36" s="123"/>
      <c r="Q36" s="129"/>
      <c r="R36" s="11"/>
    </row>
    <row r="37" spans="1:19" ht="15.75" thickBot="1" x14ac:dyDescent="0.3">
      <c r="A37" s="165"/>
      <c r="B37" s="166"/>
      <c r="C37" s="87" t="s">
        <v>79</v>
      </c>
      <c r="D37" s="42"/>
      <c r="E37" s="42"/>
      <c r="F37" s="42"/>
      <c r="G37" s="42"/>
      <c r="H37" s="122"/>
      <c r="I37" s="122"/>
      <c r="J37" s="128"/>
      <c r="K37" s="128"/>
      <c r="L37" s="125"/>
      <c r="M37" s="128"/>
      <c r="N37" s="129"/>
      <c r="O37" s="127"/>
      <c r="P37" s="128"/>
      <c r="Q37" s="129"/>
      <c r="R37" s="11"/>
    </row>
    <row r="38" spans="1:19" ht="15.75" thickBot="1" x14ac:dyDescent="0.3">
      <c r="A38" s="167" t="s">
        <v>65</v>
      </c>
      <c r="B38" s="168"/>
      <c r="C38" s="169" t="s">
        <v>80</v>
      </c>
      <c r="D38" s="170"/>
      <c r="E38" s="170"/>
      <c r="F38" s="170"/>
      <c r="G38" s="170"/>
      <c r="H38" s="171">
        <f>SUM(H39:H40)</f>
        <v>260000000</v>
      </c>
      <c r="I38" s="171">
        <f>SUM(I39:I40)</f>
        <v>40000000</v>
      </c>
      <c r="J38" s="172">
        <f>I38/$I$56</f>
        <v>1.9856182433114359E-3</v>
      </c>
      <c r="K38" s="173">
        <f>I38/H38-1</f>
        <v>-0.84615384615384615</v>
      </c>
      <c r="L38" s="174">
        <f>SUM(L39:L40)</f>
        <v>47000000</v>
      </c>
      <c r="M38" s="172">
        <f>L38/$L$56</f>
        <v>1.7197559454439483E-3</v>
      </c>
      <c r="N38" s="175">
        <f>L38/I38-1</f>
        <v>0.17500000000000004</v>
      </c>
      <c r="O38" s="176">
        <f>SUM(O39:O40)</f>
        <v>31667000</v>
      </c>
      <c r="P38" s="172">
        <f t="shared" ref="P38:P49" si="6">O38/$O$57</f>
        <v>1.1059688756006624E-3</v>
      </c>
      <c r="Q38" s="175">
        <f>O38/L38-1</f>
        <v>-0.32623404255319144</v>
      </c>
      <c r="R38" s="11"/>
    </row>
    <row r="39" spans="1:19" x14ac:dyDescent="0.25">
      <c r="A39" s="177" t="s">
        <v>65</v>
      </c>
      <c r="B39" s="178"/>
      <c r="C39" s="156"/>
      <c r="D39" s="157" t="s">
        <v>81</v>
      </c>
      <c r="E39" s="158"/>
      <c r="F39" s="158"/>
      <c r="G39" s="159"/>
      <c r="H39" s="179">
        <v>10000000</v>
      </c>
      <c r="I39" s="138">
        <v>10000000</v>
      </c>
      <c r="J39" s="139">
        <f>I39/$I$56</f>
        <v>4.9640456082785897E-4</v>
      </c>
      <c r="K39" s="140">
        <f t="shared" ref="K39:K55" si="7">I39/H39-1</f>
        <v>0</v>
      </c>
      <c r="L39" s="141">
        <v>10000000</v>
      </c>
      <c r="M39" s="139">
        <f>L39/$L$56</f>
        <v>3.6590552030722301E-4</v>
      </c>
      <c r="N39" s="151">
        <f>L39/I39-1</f>
        <v>0</v>
      </c>
      <c r="O39" s="143">
        <v>11667000</v>
      </c>
      <c r="P39" s="139">
        <f t="shared" si="6"/>
        <v>4.0746956995082984E-4</v>
      </c>
      <c r="Q39" s="151">
        <f>O39/L39-1</f>
        <v>0.16670000000000007</v>
      </c>
      <c r="R39" s="11"/>
    </row>
    <row r="40" spans="1:19" ht="15.75" thickBot="1" x14ac:dyDescent="0.3">
      <c r="A40" s="180" t="s">
        <v>65</v>
      </c>
      <c r="B40" s="178"/>
      <c r="C40" s="156"/>
      <c r="D40" s="178" t="s">
        <v>82</v>
      </c>
      <c r="E40" s="181"/>
      <c r="F40" s="181"/>
      <c r="G40" s="182"/>
      <c r="H40" s="179">
        <v>250000000</v>
      </c>
      <c r="I40" s="138">
        <v>30000000</v>
      </c>
      <c r="J40" s="139">
        <f>I40/$I$56</f>
        <v>1.4892136824835769E-3</v>
      </c>
      <c r="K40" s="140">
        <f t="shared" si="7"/>
        <v>-0.88</v>
      </c>
      <c r="L40" s="141">
        <v>37000000</v>
      </c>
      <c r="M40" s="139">
        <f>L40/$L$56</f>
        <v>1.3538504251367253E-3</v>
      </c>
      <c r="N40" s="151">
        <f>L40/I40-1</f>
        <v>0.23333333333333339</v>
      </c>
      <c r="O40" s="143">
        <v>20000000</v>
      </c>
      <c r="P40" s="139">
        <f t="shared" si="6"/>
        <v>6.9849930564983259E-4</v>
      </c>
      <c r="Q40" s="151">
        <f>O40/L40-1</f>
        <v>-0.45945945945945943</v>
      </c>
      <c r="R40" s="11"/>
    </row>
    <row r="41" spans="1:19" ht="15.75" thickBot="1" x14ac:dyDescent="0.3">
      <c r="A41" s="449"/>
      <c r="B41" s="183"/>
      <c r="C41" s="169" t="s">
        <v>83</v>
      </c>
      <c r="D41" s="170"/>
      <c r="E41" s="170"/>
      <c r="F41" s="170"/>
      <c r="G41" s="170"/>
      <c r="H41" s="184">
        <f>SUM(H42:H54)</f>
        <v>390686000</v>
      </c>
      <c r="I41" s="184">
        <f>SUM(I42:I54)</f>
        <v>380904400</v>
      </c>
      <c r="J41" s="172">
        <f>I41/$I$56</f>
        <v>1.8908268139939913E-2</v>
      </c>
      <c r="K41" s="173">
        <f t="shared" si="7"/>
        <v>-2.5036986224231228E-2</v>
      </c>
      <c r="L41" s="185">
        <f>SUM(L42:L52)</f>
        <v>461767357</v>
      </c>
      <c r="M41" s="172">
        <f>L41/$L$56</f>
        <v>1.6896322502397622E-2</v>
      </c>
      <c r="N41" s="175">
        <f>L41/I41-1</f>
        <v>0.212292000302438</v>
      </c>
      <c r="O41" s="186">
        <f>SUM(O42:O52)</f>
        <v>1331068926</v>
      </c>
      <c r="P41" s="172">
        <f t="shared" si="6"/>
        <v>4.6487536029153419E-2</v>
      </c>
      <c r="Q41" s="175">
        <f>O41/L41-1</f>
        <v>1.8825530991355892</v>
      </c>
      <c r="R41" s="11"/>
    </row>
    <row r="42" spans="1:19" x14ac:dyDescent="0.25">
      <c r="A42" s="187" t="s">
        <v>65</v>
      </c>
      <c r="B42" s="152" t="s">
        <v>69</v>
      </c>
      <c r="C42" s="156" t="s">
        <v>84</v>
      </c>
      <c r="D42" s="188" t="s">
        <v>85</v>
      </c>
      <c r="E42" s="188"/>
      <c r="F42" s="188"/>
      <c r="G42" s="188"/>
      <c r="H42" s="189"/>
      <c r="I42" s="189"/>
      <c r="J42" s="190"/>
      <c r="K42" s="191"/>
      <c r="L42" s="192"/>
      <c r="M42" s="190"/>
      <c r="N42" s="193"/>
      <c r="O42" s="194"/>
      <c r="P42" s="190">
        <f t="shared" si="6"/>
        <v>0</v>
      </c>
      <c r="Q42" s="193"/>
      <c r="R42" s="11"/>
      <c r="S42" s="11"/>
    </row>
    <row r="43" spans="1:19" x14ac:dyDescent="0.25">
      <c r="A43" s="136" t="s">
        <v>65</v>
      </c>
      <c r="B43" s="152"/>
      <c r="C43" s="156"/>
      <c r="D43" s="150" t="s">
        <v>160</v>
      </c>
      <c r="E43" s="181" t="s">
        <v>86</v>
      </c>
      <c r="F43" s="188"/>
      <c r="G43" s="188"/>
      <c r="H43" s="195">
        <v>86690000</v>
      </c>
      <c r="I43" s="195">
        <v>86690000</v>
      </c>
      <c r="J43" s="196">
        <f>I43/$I$56</f>
        <v>4.3033311378167091E-3</v>
      </c>
      <c r="K43" s="197">
        <f t="shared" si="7"/>
        <v>0</v>
      </c>
      <c r="L43" s="141">
        <v>100000000</v>
      </c>
      <c r="M43" s="196">
        <f>L43/$L$56</f>
        <v>3.6590552030722305E-3</v>
      </c>
      <c r="N43" s="151">
        <f>L43/I43-1</f>
        <v>0.15353558657284583</v>
      </c>
      <c r="O43" s="143">
        <v>100000000</v>
      </c>
      <c r="P43" s="196">
        <f t="shared" si="6"/>
        <v>3.492496528249163E-3</v>
      </c>
      <c r="Q43" s="151">
        <f>O43/L43-1</f>
        <v>0</v>
      </c>
      <c r="R43" s="11"/>
      <c r="S43" s="11"/>
    </row>
    <row r="44" spans="1:19" x14ac:dyDescent="0.25">
      <c r="A44" s="187" t="s">
        <v>65</v>
      </c>
      <c r="B44" s="152"/>
      <c r="C44" s="156"/>
      <c r="D44" s="156"/>
      <c r="E44" s="181" t="s">
        <v>87</v>
      </c>
      <c r="F44" s="188"/>
      <c r="G44" s="188"/>
      <c r="H44" s="195">
        <v>22000000</v>
      </c>
      <c r="I44" s="195">
        <v>22000000</v>
      </c>
      <c r="J44" s="196">
        <f>I44/$I$56</f>
        <v>1.0920900338212897E-3</v>
      </c>
      <c r="K44" s="197">
        <f t="shared" si="7"/>
        <v>0</v>
      </c>
      <c r="L44" s="141">
        <v>15000000</v>
      </c>
      <c r="M44" s="196">
        <f>L44/$L$56</f>
        <v>5.4885828046083451E-4</v>
      </c>
      <c r="N44" s="151">
        <f>L44/I44-1</f>
        <v>-0.31818181818181823</v>
      </c>
      <c r="O44" s="143">
        <v>25000000</v>
      </c>
      <c r="P44" s="196">
        <f t="shared" si="6"/>
        <v>8.7312413206229076E-4</v>
      </c>
      <c r="Q44" s="151">
        <f>O44/L44-1</f>
        <v>0.66666666666666674</v>
      </c>
      <c r="R44" s="11"/>
      <c r="S44" s="11"/>
    </row>
    <row r="45" spans="1:19" x14ac:dyDescent="0.25">
      <c r="A45" s="187" t="s">
        <v>65</v>
      </c>
      <c r="B45" s="152"/>
      <c r="C45" s="156"/>
      <c r="D45" s="156"/>
      <c r="E45" s="188" t="s">
        <v>88</v>
      </c>
      <c r="F45" s="188"/>
      <c r="G45" s="188"/>
      <c r="H45" s="189"/>
      <c r="I45" s="189"/>
      <c r="J45" s="190"/>
      <c r="K45" s="197"/>
      <c r="L45" s="198">
        <v>0</v>
      </c>
      <c r="M45" s="190"/>
      <c r="N45" s="151"/>
      <c r="O45" s="199">
        <v>0</v>
      </c>
      <c r="P45" s="190">
        <f t="shared" si="6"/>
        <v>0</v>
      </c>
      <c r="Q45" s="151"/>
      <c r="R45" s="11"/>
      <c r="S45" s="11"/>
    </row>
    <row r="46" spans="1:19" ht="16.5" x14ac:dyDescent="0.25">
      <c r="A46" s="187" t="s">
        <v>65</v>
      </c>
      <c r="B46" s="152"/>
      <c r="C46" s="156"/>
      <c r="D46" s="156"/>
      <c r="E46" s="188" t="s">
        <v>181</v>
      </c>
      <c r="F46" s="188"/>
      <c r="G46" s="188"/>
      <c r="H46" s="189">
        <v>30000000</v>
      </c>
      <c r="I46" s="189"/>
      <c r="J46" s="190">
        <f>I46/$I$56</f>
        <v>0</v>
      </c>
      <c r="K46" s="197">
        <f t="shared" si="7"/>
        <v>-1</v>
      </c>
      <c r="L46" s="198">
        <v>0</v>
      </c>
      <c r="M46" s="190">
        <f>L46/$L$56</f>
        <v>0</v>
      </c>
      <c r="N46" s="151"/>
      <c r="O46" s="199">
        <v>0</v>
      </c>
      <c r="P46" s="190">
        <f t="shared" si="6"/>
        <v>0</v>
      </c>
      <c r="Q46" s="151"/>
      <c r="R46" s="11"/>
      <c r="S46" s="11"/>
    </row>
    <row r="47" spans="1:19" x14ac:dyDescent="0.25">
      <c r="A47" s="187"/>
      <c r="B47" s="152" t="s">
        <v>69</v>
      </c>
      <c r="C47" s="156"/>
      <c r="D47" s="156"/>
      <c r="E47" s="181" t="s">
        <v>166</v>
      </c>
      <c r="F47" s="188"/>
      <c r="G47" s="188"/>
      <c r="H47" s="195">
        <v>8000000</v>
      </c>
      <c r="I47" s="195">
        <v>11000000</v>
      </c>
      <c r="J47" s="196">
        <f>I47/$I$56</f>
        <v>5.4604501691064486E-4</v>
      </c>
      <c r="K47" s="197">
        <f t="shared" si="7"/>
        <v>0.375</v>
      </c>
      <c r="L47" s="141">
        <v>11000000</v>
      </c>
      <c r="M47" s="196">
        <f>L47/$L$56</f>
        <v>4.0249607233794533E-4</v>
      </c>
      <c r="N47" s="151">
        <f>L47/I47-1</f>
        <v>0</v>
      </c>
      <c r="O47" s="143">
        <v>15200000</v>
      </c>
      <c r="P47" s="196">
        <f t="shared" si="6"/>
        <v>5.308594722938728E-4</v>
      </c>
      <c r="Q47" s="151">
        <f>O47/L47-1</f>
        <v>0.38181818181818183</v>
      </c>
      <c r="R47" s="11"/>
      <c r="S47" s="11"/>
    </row>
    <row r="48" spans="1:19" x14ac:dyDescent="0.25">
      <c r="A48" s="187"/>
      <c r="B48" s="152" t="s">
        <v>69</v>
      </c>
      <c r="C48" s="156"/>
      <c r="D48" s="156"/>
      <c r="E48" s="181" t="s">
        <v>167</v>
      </c>
      <c r="F48" s="181"/>
      <c r="G48" s="181"/>
      <c r="H48" s="195">
        <v>24000000</v>
      </c>
      <c r="I48" s="195">
        <v>24000000</v>
      </c>
      <c r="J48" s="196">
        <f>I48/$I$56</f>
        <v>1.1913709459868615E-3</v>
      </c>
      <c r="K48" s="197">
        <f t="shared" si="7"/>
        <v>0</v>
      </c>
      <c r="L48" s="141">
        <v>20000000</v>
      </c>
      <c r="M48" s="196">
        <f>L48/$L$56</f>
        <v>7.3181104061444601E-4</v>
      </c>
      <c r="N48" s="151">
        <f>L48/I48-1</f>
        <v>-0.16666666666666663</v>
      </c>
      <c r="O48" s="143">
        <v>20000000</v>
      </c>
      <c r="P48" s="196">
        <f t="shared" si="6"/>
        <v>6.9849930564983259E-4</v>
      </c>
      <c r="Q48" s="151">
        <f>O48/L48-1</f>
        <v>0</v>
      </c>
      <c r="R48" s="11"/>
      <c r="S48" s="11"/>
    </row>
    <row r="49" spans="1:20" x14ac:dyDescent="0.25">
      <c r="A49" s="152" t="s">
        <v>65</v>
      </c>
      <c r="B49" s="152"/>
      <c r="C49" s="156"/>
      <c r="D49" s="156"/>
      <c r="E49" s="200" t="s">
        <v>300</v>
      </c>
      <c r="F49" s="200"/>
      <c r="G49" s="200"/>
      <c r="H49" s="189"/>
      <c r="I49" s="189"/>
      <c r="J49" s="190"/>
      <c r="K49" s="191"/>
      <c r="L49" s="198">
        <v>150000000</v>
      </c>
      <c r="M49" s="196"/>
      <c r="N49" s="151"/>
      <c r="O49" s="199">
        <v>200000000</v>
      </c>
      <c r="P49" s="196">
        <f t="shared" si="6"/>
        <v>6.9849930564983261E-3</v>
      </c>
      <c r="Q49" s="151"/>
      <c r="R49" s="11"/>
      <c r="S49" s="11"/>
    </row>
    <row r="50" spans="1:20" x14ac:dyDescent="0.25">
      <c r="A50" s="152" t="s">
        <v>65</v>
      </c>
      <c r="B50" s="152"/>
      <c r="C50" s="156"/>
      <c r="D50" s="156"/>
      <c r="E50" s="200" t="s">
        <v>308</v>
      </c>
      <c r="F50" s="200"/>
      <c r="G50" s="200"/>
      <c r="H50" s="189"/>
      <c r="I50" s="189"/>
      <c r="J50" s="190"/>
      <c r="K50" s="191"/>
      <c r="L50" s="198"/>
      <c r="M50" s="196"/>
      <c r="N50" s="151"/>
      <c r="O50" s="199">
        <v>800000000</v>
      </c>
      <c r="P50" s="196"/>
      <c r="Q50" s="151"/>
      <c r="R50" s="11"/>
      <c r="S50" s="11"/>
    </row>
    <row r="51" spans="1:20" x14ac:dyDescent="0.25">
      <c r="A51" s="152" t="s">
        <v>65</v>
      </c>
      <c r="B51" s="152"/>
      <c r="C51" s="156"/>
      <c r="D51" s="156"/>
      <c r="E51" s="200" t="s">
        <v>299</v>
      </c>
      <c r="F51" s="200"/>
      <c r="G51" s="200"/>
      <c r="H51" s="189"/>
      <c r="I51" s="189"/>
      <c r="J51" s="190"/>
      <c r="K51" s="191"/>
      <c r="L51" s="198">
        <v>120000000</v>
      </c>
      <c r="M51" s="196"/>
      <c r="N51" s="151"/>
      <c r="O51" s="199">
        <v>133200000</v>
      </c>
      <c r="P51" s="196">
        <f t="shared" ref="P51:P57" si="8">O51/$O$57</f>
        <v>4.6520053756278854E-3</v>
      </c>
      <c r="Q51" s="151"/>
      <c r="R51" s="11"/>
      <c r="S51" s="11"/>
    </row>
    <row r="52" spans="1:20" x14ac:dyDescent="0.25">
      <c r="A52" s="187" t="s">
        <v>65</v>
      </c>
      <c r="B52" s="152" t="s">
        <v>69</v>
      </c>
      <c r="C52" s="156"/>
      <c r="D52" s="156"/>
      <c r="E52" s="200" t="s">
        <v>89</v>
      </c>
      <c r="F52" s="200"/>
      <c r="G52" s="200"/>
      <c r="H52" s="189">
        <v>81996000</v>
      </c>
      <c r="I52" s="189">
        <v>99214400</v>
      </c>
      <c r="J52" s="190">
        <f>I52/$I$56</f>
        <v>4.9250480659799529E-3</v>
      </c>
      <c r="K52" s="191">
        <f t="shared" si="7"/>
        <v>0.20999073125518319</v>
      </c>
      <c r="L52" s="198">
        <v>45767357</v>
      </c>
      <c r="M52" s="196">
        <f>L52/$L$56</f>
        <v>1.6746528576171427E-3</v>
      </c>
      <c r="N52" s="151">
        <f>L52/I52-1</f>
        <v>-0.53870247665661442</v>
      </c>
      <c r="O52" s="199">
        <v>37668926</v>
      </c>
      <c r="P52" s="196">
        <f t="shared" si="8"/>
        <v>1.3155859327787464E-3</v>
      </c>
      <c r="Q52" s="151">
        <f>O52/L52-1</f>
        <v>-0.17694775339550417</v>
      </c>
      <c r="R52" s="11"/>
      <c r="S52" s="11"/>
    </row>
    <row r="53" spans="1:20" x14ac:dyDescent="0.25">
      <c r="A53" s="187" t="s">
        <v>65</v>
      </c>
      <c r="B53" s="152"/>
      <c r="C53" s="890" t="s">
        <v>178</v>
      </c>
      <c r="D53" s="891"/>
      <c r="E53" s="891"/>
      <c r="F53" s="891"/>
      <c r="G53" s="892"/>
      <c r="H53" s="189">
        <v>100000000</v>
      </c>
      <c r="I53" s="189">
        <v>100000000</v>
      </c>
      <c r="J53" s="190"/>
      <c r="K53" s="197"/>
      <c r="L53" s="198">
        <v>100000000</v>
      </c>
      <c r="M53" s="190">
        <f t="shared" ref="M53:M54" si="9">L53/$L$56</f>
        <v>3.6590552030722305E-3</v>
      </c>
      <c r="N53" s="151"/>
      <c r="O53" s="199">
        <v>100000000</v>
      </c>
      <c r="P53" s="190">
        <f t="shared" si="8"/>
        <v>3.492496528249163E-3</v>
      </c>
      <c r="Q53" s="151">
        <f t="shared" ref="Q53" si="10">O53/L53-1</f>
        <v>0</v>
      </c>
      <c r="R53" s="11"/>
      <c r="S53" s="11"/>
    </row>
    <row r="54" spans="1:20" ht="15.75" thickBot="1" x14ac:dyDescent="0.3">
      <c r="A54" s="187" t="s">
        <v>65</v>
      </c>
      <c r="B54" s="152"/>
      <c r="C54" s="903" t="s">
        <v>180</v>
      </c>
      <c r="D54" s="904"/>
      <c r="E54" s="904"/>
      <c r="F54" s="904"/>
      <c r="G54" s="905"/>
      <c r="H54" s="189">
        <v>38000000</v>
      </c>
      <c r="I54" s="189">
        <v>38000000</v>
      </c>
      <c r="J54" s="190"/>
      <c r="K54" s="191"/>
      <c r="L54" s="198">
        <v>0</v>
      </c>
      <c r="M54" s="196">
        <f t="shared" si="9"/>
        <v>0</v>
      </c>
      <c r="N54" s="151">
        <f t="shared" ref="N54" si="11">L54/I54-1</f>
        <v>-1</v>
      </c>
      <c r="O54" s="659">
        <v>0</v>
      </c>
      <c r="P54" s="196">
        <f t="shared" si="8"/>
        <v>0</v>
      </c>
      <c r="Q54" s="151"/>
      <c r="R54" s="11"/>
      <c r="S54" s="11"/>
    </row>
    <row r="55" spans="1:20" ht="15.75" thickBot="1" x14ac:dyDescent="0.3">
      <c r="A55" s="201"/>
      <c r="B55" s="202"/>
      <c r="C55" s="203" t="s">
        <v>90</v>
      </c>
      <c r="D55" s="204"/>
      <c r="E55" s="204"/>
      <c r="F55" s="204"/>
      <c r="G55" s="204"/>
      <c r="H55" s="205">
        <f>+H38+H41</f>
        <v>650686000</v>
      </c>
      <c r="I55" s="205">
        <f>+I38+I41</f>
        <v>420904400</v>
      </c>
      <c r="J55" s="206">
        <f>I55/$I$56</f>
        <v>2.0893886383251348E-2</v>
      </c>
      <c r="K55" s="207">
        <f t="shared" si="7"/>
        <v>-0.35313745800585838</v>
      </c>
      <c r="L55" s="208">
        <f>+L38+L41+L53+L54</f>
        <v>608767357</v>
      </c>
      <c r="M55" s="206">
        <f>L55/$L$57</f>
        <v>2.2275133650913801E-2</v>
      </c>
      <c r="N55" s="209">
        <f>L55/I55-1</f>
        <v>0.44633165393376739</v>
      </c>
      <c r="O55" s="675">
        <f>+O38+O41+O53+O54</f>
        <v>1462735926</v>
      </c>
      <c r="P55" s="206">
        <f t="shared" si="8"/>
        <v>5.108600143300325E-2</v>
      </c>
      <c r="Q55" s="209">
        <f>O55/L55-1</f>
        <v>1.4027831144040794</v>
      </c>
      <c r="R55" s="11"/>
      <c r="S55" s="11"/>
      <c r="T55" s="11"/>
    </row>
    <row r="56" spans="1:20" ht="6" customHeight="1" thickBot="1" x14ac:dyDescent="0.3">
      <c r="A56" s="210"/>
      <c r="B56" s="211"/>
      <c r="C56" s="212"/>
      <c r="D56" s="212"/>
      <c r="E56" s="212"/>
      <c r="F56" s="212"/>
      <c r="G56" s="212"/>
      <c r="H56" s="213">
        <v>19907272</v>
      </c>
      <c r="I56" s="213">
        <v>20144859232</v>
      </c>
      <c r="J56" s="214">
        <f>I56/$I$56</f>
        <v>1</v>
      </c>
      <c r="K56" s="215"/>
      <c r="L56" s="216">
        <f>L57</f>
        <v>27329459232</v>
      </c>
      <c r="M56" s="214"/>
      <c r="N56" s="217"/>
      <c r="O56" s="659"/>
      <c r="P56" s="214">
        <f t="shared" si="8"/>
        <v>0</v>
      </c>
      <c r="Q56" s="217"/>
      <c r="R56" s="11"/>
    </row>
    <row r="57" spans="1:20" ht="16.5" thickBot="1" x14ac:dyDescent="0.3">
      <c r="A57" s="450"/>
      <c r="B57" s="451"/>
      <c r="C57" s="452" t="s">
        <v>161</v>
      </c>
      <c r="D57" s="453"/>
      <c r="E57" s="453"/>
      <c r="F57" s="453"/>
      <c r="G57" s="454"/>
      <c r="H57" s="237">
        <f>+H19+H28+H35+H55</f>
        <v>25129459232</v>
      </c>
      <c r="I57" s="237">
        <f>+I19+I28+I35+I55</f>
        <v>26129459232</v>
      </c>
      <c r="J57" s="206">
        <f>I57/$I$56</f>
        <v>1.2970782734730404</v>
      </c>
      <c r="K57" s="207">
        <f>I57/H57-1</f>
        <v>3.9793932323326509E-2</v>
      </c>
      <c r="L57" s="455">
        <f>+L19+L28+L35+L55</f>
        <v>27329459232</v>
      </c>
      <c r="M57" s="206">
        <f>L57/$L$57</f>
        <v>1</v>
      </c>
      <c r="N57" s="209">
        <f>L57/I57-1</f>
        <v>4.5925175463654266E-2</v>
      </c>
      <c r="O57" s="456">
        <f>+O19+O28+O35+O55</f>
        <v>28632813001</v>
      </c>
      <c r="P57" s="206">
        <f t="shared" si="8"/>
        <v>1</v>
      </c>
      <c r="Q57" s="209">
        <f>O57/L57-1</f>
        <v>4.7690433899032492E-2</v>
      </c>
      <c r="R57" s="11"/>
    </row>
    <row r="58" spans="1:20" ht="15.75" thickBot="1" x14ac:dyDescent="0.3"/>
    <row r="59" spans="1:20" ht="15.75" x14ac:dyDescent="0.25">
      <c r="A59" s="459"/>
      <c r="B59" s="460"/>
      <c r="C59" s="461" t="s">
        <v>162</v>
      </c>
      <c r="D59" s="462"/>
      <c r="E59" s="462"/>
      <c r="F59" s="462"/>
      <c r="G59" s="462"/>
      <c r="H59" s="130"/>
      <c r="I59" s="701">
        <v>2245994748</v>
      </c>
      <c r="J59" s="463"/>
      <c r="K59" s="464"/>
      <c r="L59" s="705">
        <v>1235994748</v>
      </c>
      <c r="M59" s="463"/>
      <c r="N59" s="465"/>
      <c r="O59" s="466">
        <v>2245994748</v>
      </c>
      <c r="P59" s="463"/>
      <c r="Q59" s="465"/>
      <c r="R59" s="11"/>
    </row>
    <row r="60" spans="1:20" ht="15.75" x14ac:dyDescent="0.25">
      <c r="A60" s="218"/>
      <c r="B60" s="219"/>
      <c r="C60" s="220" t="s">
        <v>275</v>
      </c>
      <c r="D60" s="221"/>
      <c r="E60" s="221"/>
      <c r="F60" s="221"/>
      <c r="G60" s="221"/>
      <c r="H60" s="138"/>
      <c r="I60" s="702">
        <v>36223000</v>
      </c>
      <c r="J60" s="222"/>
      <c r="K60" s="223"/>
      <c r="L60" s="706">
        <v>36223000</v>
      </c>
      <c r="M60" s="222"/>
      <c r="N60" s="224"/>
      <c r="O60" s="225">
        <v>36223000</v>
      </c>
      <c r="P60" s="222"/>
      <c r="Q60" s="224"/>
      <c r="R60" s="467"/>
      <c r="S60" s="467"/>
    </row>
    <row r="61" spans="1:20" ht="16.5" thickBot="1" x14ac:dyDescent="0.3">
      <c r="A61" s="226"/>
      <c r="B61" s="227"/>
      <c r="C61" s="228" t="s">
        <v>163</v>
      </c>
      <c r="D61" s="229"/>
      <c r="E61" s="229"/>
      <c r="F61" s="229"/>
      <c r="G61" s="229"/>
      <c r="H61" s="230"/>
      <c r="I61" s="703">
        <v>26129459232</v>
      </c>
      <c r="J61" s="231"/>
      <c r="K61" s="232"/>
      <c r="L61" s="707">
        <f>L57</f>
        <v>27329459232</v>
      </c>
      <c r="M61" s="231"/>
      <c r="N61" s="233"/>
      <c r="O61" s="234">
        <f>O57</f>
        <v>28632813001</v>
      </c>
      <c r="P61" s="231"/>
      <c r="Q61" s="233"/>
      <c r="R61" s="467"/>
    </row>
    <row r="62" spans="1:20" ht="16.5" thickBot="1" x14ac:dyDescent="0.3">
      <c r="A62" s="235"/>
      <c r="B62" s="236"/>
      <c r="C62" s="888" t="s">
        <v>91</v>
      </c>
      <c r="D62" s="889"/>
      <c r="E62" s="889"/>
      <c r="F62" s="889"/>
      <c r="G62" s="889"/>
      <c r="H62" s="237"/>
      <c r="I62" s="704">
        <f>SUM(I59:I61)</f>
        <v>28411676980</v>
      </c>
      <c r="J62" s="206"/>
      <c r="K62" s="207"/>
      <c r="L62" s="708">
        <f>SUM(L59:L61)</f>
        <v>28601676980</v>
      </c>
      <c r="M62" s="206"/>
      <c r="N62" s="209"/>
      <c r="O62" s="457">
        <f>SUM(O59:O61)</f>
        <v>30915030749</v>
      </c>
      <c r="P62" s="206"/>
      <c r="Q62" s="209"/>
      <c r="R62" s="11"/>
    </row>
    <row r="63" spans="1:20" x14ac:dyDescent="0.25">
      <c r="A63" s="238"/>
      <c r="B63" s="238"/>
      <c r="C63" s="238"/>
      <c r="D63" s="238"/>
      <c r="E63" s="238"/>
      <c r="F63" s="238"/>
      <c r="G63" s="238"/>
      <c r="H63" s="239"/>
      <c r="I63" s="240"/>
      <c r="J63" s="241"/>
      <c r="K63" s="242"/>
      <c r="L63" s="242"/>
      <c r="M63" s="241"/>
      <c r="N63" s="242"/>
      <c r="O63" s="242"/>
      <c r="P63" s="243"/>
      <c r="Q63" s="243"/>
    </row>
    <row r="64" spans="1:20" ht="15.75" x14ac:dyDescent="0.25">
      <c r="A64" s="238"/>
      <c r="B64" s="238"/>
      <c r="C64" s="244" t="s">
        <v>274</v>
      </c>
      <c r="D64" s="238"/>
      <c r="E64" s="238"/>
      <c r="F64" s="238"/>
      <c r="G64" s="238"/>
      <c r="H64" s="239"/>
      <c r="I64" s="240"/>
      <c r="J64" s="241"/>
      <c r="K64" s="242"/>
      <c r="L64" s="242"/>
      <c r="M64" s="241"/>
      <c r="N64" s="242"/>
      <c r="O64" s="242"/>
      <c r="P64" s="243"/>
      <c r="Q64" s="243"/>
    </row>
    <row r="65" spans="1:17" x14ac:dyDescent="0.25">
      <c r="A65" s="238"/>
      <c r="B65" s="238"/>
      <c r="C65" s="886" t="s">
        <v>92</v>
      </c>
      <c r="D65" s="886"/>
      <c r="E65" s="886"/>
      <c r="F65" s="886"/>
      <c r="G65" s="886"/>
      <c r="H65" s="245"/>
      <c r="I65" s="247">
        <f>SUM(I19,I22,I24,I26,I32,I39,I40,I43,I44,I46,I53,I54,I60,I49,I51,I50)</f>
        <v>25699467832</v>
      </c>
      <c r="J65" s="246"/>
      <c r="K65" s="247"/>
      <c r="L65" s="247">
        <f>SUM(L19,L22,L24,L26,L32,L39,L40,L43,L44,L46,L53,L54,L60,L49,L51,L50)</f>
        <v>26986914875</v>
      </c>
      <c r="M65" s="246"/>
      <c r="N65" s="247"/>
      <c r="O65" s="247">
        <f>SUM(O19,O22,O24,O26,O32,O39,O40,O43,O44,O46,O53,O54,O60,O49,O51,O50)</f>
        <v>28289167075</v>
      </c>
      <c r="P65" s="243"/>
      <c r="Q65" s="529"/>
    </row>
    <row r="66" spans="1:17" x14ac:dyDescent="0.25">
      <c r="A66" s="238"/>
      <c r="B66" s="238"/>
      <c r="C66" s="886" t="s">
        <v>93</v>
      </c>
      <c r="D66" s="886"/>
      <c r="E66" s="886"/>
      <c r="F66" s="886"/>
      <c r="G66" s="886"/>
      <c r="H66" s="245"/>
      <c r="I66" s="247">
        <v>2612994748</v>
      </c>
      <c r="J66" s="246"/>
      <c r="K66" s="247"/>
      <c r="L66" s="247">
        <f>SUM(L23,L25,L27,L33,L47,L48,L59)</f>
        <v>1568994748</v>
      </c>
      <c r="M66" s="246"/>
      <c r="N66" s="247"/>
      <c r="O66" s="247">
        <f>SUM(O23,O25,O27,O33,O47,O48,O59)</f>
        <v>2588194748</v>
      </c>
      <c r="P66" s="243"/>
      <c r="Q66" s="243"/>
    </row>
    <row r="67" spans="1:17" x14ac:dyDescent="0.25">
      <c r="A67" s="238"/>
      <c r="B67" s="238"/>
      <c r="C67" s="886" t="s">
        <v>182</v>
      </c>
      <c r="D67" s="886"/>
      <c r="E67" s="886"/>
      <c r="F67" s="886"/>
      <c r="G67" s="886"/>
      <c r="H67" s="245"/>
      <c r="I67" s="247">
        <v>99214400</v>
      </c>
      <c r="J67" s="246"/>
      <c r="K67" s="247"/>
      <c r="L67" s="247">
        <f>L62-L65-L66</f>
        <v>45767357</v>
      </c>
      <c r="M67" s="246"/>
      <c r="N67" s="247"/>
      <c r="O67" s="247">
        <f>O62-O65-O66</f>
        <v>37668926</v>
      </c>
      <c r="P67" s="243"/>
      <c r="Q67" s="243"/>
    </row>
    <row r="68" spans="1:17" x14ac:dyDescent="0.25">
      <c r="A68" s="238"/>
      <c r="B68" s="238"/>
      <c r="C68" s="458"/>
      <c r="D68" s="458"/>
      <c r="E68" s="458"/>
      <c r="F68" s="458"/>
      <c r="G68" s="458"/>
      <c r="H68" s="239"/>
      <c r="I68" s="240"/>
      <c r="J68" s="241"/>
      <c r="K68" s="242"/>
      <c r="L68" s="242"/>
      <c r="M68" s="241"/>
      <c r="N68" s="242"/>
      <c r="O68" s="242"/>
      <c r="P68" s="243"/>
      <c r="Q68" s="243"/>
    </row>
    <row r="69" spans="1:17" ht="16.5" x14ac:dyDescent="0.25">
      <c r="A69" s="248" t="s">
        <v>164</v>
      </c>
      <c r="B69" s="887" t="s">
        <v>94</v>
      </c>
      <c r="C69" s="887"/>
      <c r="D69" s="887"/>
      <c r="E69" s="887"/>
      <c r="F69" s="887"/>
      <c r="G69" s="887"/>
      <c r="H69" s="887"/>
      <c r="I69" s="887"/>
      <c r="J69" s="887"/>
      <c r="K69" s="887"/>
      <c r="L69" s="887"/>
      <c r="M69" s="887"/>
      <c r="N69" s="887"/>
      <c r="O69" s="887"/>
      <c r="P69" s="887"/>
      <c r="Q69" s="887"/>
    </row>
    <row r="70" spans="1:17" ht="16.5" x14ac:dyDescent="0.25">
      <c r="A70" s="248" t="s">
        <v>165</v>
      </c>
      <c r="B70" s="887" t="s">
        <v>342</v>
      </c>
      <c r="C70" s="887"/>
      <c r="D70" s="887"/>
      <c r="E70" s="887"/>
      <c r="F70" s="887"/>
      <c r="G70" s="887"/>
      <c r="H70" s="887"/>
      <c r="I70" s="887"/>
      <c r="J70" s="887"/>
      <c r="K70" s="887"/>
      <c r="L70" s="887"/>
      <c r="M70" s="887"/>
      <c r="N70" s="887"/>
      <c r="O70" s="887"/>
      <c r="P70" s="887"/>
      <c r="Q70" s="887"/>
    </row>
    <row r="71" spans="1:17" ht="27.75" customHeight="1" x14ac:dyDescent="0.25">
      <c r="A71" s="248" t="s">
        <v>179</v>
      </c>
      <c r="B71" s="885" t="s">
        <v>304</v>
      </c>
      <c r="C71" s="885"/>
      <c r="D71" s="885"/>
      <c r="E71" s="885"/>
      <c r="F71" s="885"/>
      <c r="G71" s="885"/>
      <c r="H71" s="885"/>
      <c r="I71" s="885"/>
      <c r="J71" s="885"/>
      <c r="K71" s="885"/>
      <c r="L71" s="885"/>
      <c r="M71" s="885"/>
      <c r="N71" s="885"/>
      <c r="O71" s="885"/>
      <c r="P71" s="885"/>
      <c r="Q71" s="885"/>
    </row>
    <row r="72" spans="1:17" ht="16.5" x14ac:dyDescent="0.25">
      <c r="A72" s="248"/>
    </row>
    <row r="73" spans="1:17" ht="21" x14ac:dyDescent="0.25">
      <c r="A73" s="618" t="s">
        <v>269</v>
      </c>
      <c r="B73" s="617"/>
    </row>
  </sheetData>
  <mergeCells count="47">
    <mergeCell ref="A1:Q1"/>
    <mergeCell ref="A6:D6"/>
    <mergeCell ref="J6:K6"/>
    <mergeCell ref="A4:D4"/>
    <mergeCell ref="J4:K4"/>
    <mergeCell ref="A5:D5"/>
    <mergeCell ref="J5:K5"/>
    <mergeCell ref="A10:A12"/>
    <mergeCell ref="B10:B12"/>
    <mergeCell ref="C10:G12"/>
    <mergeCell ref="H10:H12"/>
    <mergeCell ref="I10:I12"/>
    <mergeCell ref="A7:D7"/>
    <mergeCell ref="J7:K7"/>
    <mergeCell ref="A8:H8"/>
    <mergeCell ref="J8:K8"/>
    <mergeCell ref="A9:I9"/>
    <mergeCell ref="C19:G19"/>
    <mergeCell ref="J10:J12"/>
    <mergeCell ref="K10:K12"/>
    <mergeCell ref="L10:L12"/>
    <mergeCell ref="M10:M12"/>
    <mergeCell ref="P10:P12"/>
    <mergeCell ref="Q10:Q12"/>
    <mergeCell ref="C13:G13"/>
    <mergeCell ref="C16:G16"/>
    <mergeCell ref="C17:G17"/>
    <mergeCell ref="N10:N12"/>
    <mergeCell ref="O10:O12"/>
    <mergeCell ref="C62:G62"/>
    <mergeCell ref="C53:G53"/>
    <mergeCell ref="C22:G22"/>
    <mergeCell ref="C23:G23"/>
    <mergeCell ref="C24:G24"/>
    <mergeCell ref="C25:G25"/>
    <mergeCell ref="C26:G26"/>
    <mergeCell ref="C27:G27"/>
    <mergeCell ref="C28:G28"/>
    <mergeCell ref="C31:G31"/>
    <mergeCell ref="C35:G35"/>
    <mergeCell ref="C54:G54"/>
    <mergeCell ref="B71:Q71"/>
    <mergeCell ref="C65:G65"/>
    <mergeCell ref="C66:G66"/>
    <mergeCell ref="C67:G67"/>
    <mergeCell ref="B69:Q69"/>
    <mergeCell ref="B70:Q70"/>
  </mergeCells>
  <hyperlinks>
    <hyperlink ref="A73" location="'0 Seznam'!A1" display="Seznam" xr:uid="{4F751480-CE93-4A34-902B-71FC74CA716B}"/>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FA8B7-6628-4A87-85A9-C4E63D77179A}">
  <sheetPr>
    <tabColor rgb="FFFF0000"/>
  </sheetPr>
  <dimension ref="A1:G14"/>
  <sheetViews>
    <sheetView zoomScale="85" zoomScaleNormal="85" workbookViewId="0">
      <selection activeCell="B2" sqref="B2"/>
    </sheetView>
  </sheetViews>
  <sheetFormatPr defaultRowHeight="15" x14ac:dyDescent="0.25"/>
  <cols>
    <col min="2" max="2" width="39.140625" customWidth="1"/>
    <col min="3" max="6" width="18.28515625" customWidth="1"/>
  </cols>
  <sheetData>
    <row r="1" spans="1:7" ht="27.75" x14ac:dyDescent="0.25">
      <c r="A1" s="316" t="s">
        <v>294</v>
      </c>
    </row>
    <row r="3" spans="1:7" x14ac:dyDescent="0.25">
      <c r="B3" s="661" t="s">
        <v>309</v>
      </c>
      <c r="C3" s="662">
        <f>'1 Bilance'!O17</f>
        <v>4321738358</v>
      </c>
      <c r="D3" s="661" t="s">
        <v>34</v>
      </c>
    </row>
    <row r="4" spans="1:7" x14ac:dyDescent="0.25">
      <c r="B4" s="15" t="s">
        <v>285</v>
      </c>
      <c r="C4" s="25">
        <v>40000000</v>
      </c>
      <c r="D4" s="15" t="s">
        <v>34</v>
      </c>
    </row>
    <row r="5" spans="1:7" x14ac:dyDescent="0.25">
      <c r="B5" s="661" t="s">
        <v>292</v>
      </c>
      <c r="C5" s="662">
        <f>C3-C4</f>
        <v>4281738358</v>
      </c>
      <c r="D5" s="661" t="s">
        <v>34</v>
      </c>
    </row>
    <row r="6" spans="1:7" ht="15.75" thickBot="1" x14ac:dyDescent="0.3">
      <c r="F6" s="39" t="s">
        <v>0</v>
      </c>
    </row>
    <row r="7" spans="1:7" ht="102.75" customHeight="1" thickBot="1" x14ac:dyDescent="0.3">
      <c r="B7" s="667" t="s">
        <v>291</v>
      </c>
      <c r="C7" s="669" t="s">
        <v>310</v>
      </c>
      <c r="D7" s="665" t="s">
        <v>301</v>
      </c>
      <c r="E7" s="665" t="s">
        <v>302</v>
      </c>
      <c r="F7" s="666" t="s">
        <v>293</v>
      </c>
    </row>
    <row r="8" spans="1:7" x14ac:dyDescent="0.25">
      <c r="B8" s="682" t="s">
        <v>287</v>
      </c>
      <c r="C8" s="686">
        <v>4.7315890104930834E-2</v>
      </c>
      <c r="D8" s="687">
        <f>$C$5*C8</f>
        <v>202594261.60519499</v>
      </c>
      <c r="E8" s="688">
        <f>D8+C4</f>
        <v>242594261.60519499</v>
      </c>
      <c r="F8" s="689">
        <f>E8/$E$12</f>
        <v>5.613349108840128E-2</v>
      </c>
      <c r="G8" s="676"/>
    </row>
    <row r="9" spans="1:7" x14ac:dyDescent="0.25">
      <c r="B9" s="683" t="s">
        <v>288</v>
      </c>
      <c r="C9" s="690">
        <v>1.3277925807576264E-2</v>
      </c>
      <c r="D9" s="691">
        <f t="shared" ref="D9:D11" si="0">$C$5*C9</f>
        <v>56852604.244977415</v>
      </c>
      <c r="E9" s="692">
        <f>D9</f>
        <v>56852604.244977415</v>
      </c>
      <c r="F9" s="693">
        <f t="shared" ref="F9:F11" si="1">E9/$E$12</f>
        <v>1.3155031502482598E-2</v>
      </c>
      <c r="G9" s="676"/>
    </row>
    <row r="10" spans="1:7" x14ac:dyDescent="0.25">
      <c r="B10" s="684" t="s">
        <v>289</v>
      </c>
      <c r="C10" s="690">
        <v>0.3903171621750206</v>
      </c>
      <c r="D10" s="691">
        <f t="shared" si="0"/>
        <v>1671235965.0704925</v>
      </c>
      <c r="E10" s="692">
        <f t="shared" ref="E10:E11" si="2">D10</f>
        <v>1671235965.0704925</v>
      </c>
      <c r="F10" s="693">
        <f t="shared" si="1"/>
        <v>0.38670456807660647</v>
      </c>
      <c r="G10" s="676"/>
    </row>
    <row r="11" spans="1:7" ht="15.75" thickBot="1" x14ac:dyDescent="0.3">
      <c r="B11" s="685" t="s">
        <v>290</v>
      </c>
      <c r="C11" s="694">
        <v>0.54908902191247222</v>
      </c>
      <c r="D11" s="695">
        <f t="shared" si="0"/>
        <v>2351055527.0793347</v>
      </c>
      <c r="E11" s="696">
        <f t="shared" si="2"/>
        <v>2351055527.0793347</v>
      </c>
      <c r="F11" s="697">
        <f t="shared" si="1"/>
        <v>0.54400690933250961</v>
      </c>
      <c r="G11" s="676"/>
    </row>
    <row r="12" spans="1:7" ht="15.75" thickBot="1" x14ac:dyDescent="0.3">
      <c r="B12" s="668" t="s">
        <v>286</v>
      </c>
      <c r="C12" s="698">
        <f>SUM(C8:C11)</f>
        <v>1</v>
      </c>
      <c r="D12" s="9">
        <f t="shared" ref="D12:F12" si="3">SUM(D8:D11)</f>
        <v>4281738357.9999995</v>
      </c>
      <c r="E12" s="699">
        <f t="shared" si="3"/>
        <v>4321738358</v>
      </c>
      <c r="F12" s="700">
        <f t="shared" si="3"/>
        <v>1</v>
      </c>
    </row>
    <row r="14" spans="1:7" x14ac:dyDescent="0.25">
      <c r="A14" s="618" t="s">
        <v>269</v>
      </c>
    </row>
  </sheetData>
  <hyperlinks>
    <hyperlink ref="A14" location="'0 Seznam'!A1" display="Seznam" xr:uid="{F1643AC2-B34A-4088-BD27-187F17925E41}"/>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9D08E"/>
  </sheetPr>
  <dimension ref="A1:R37"/>
  <sheetViews>
    <sheetView zoomScale="85" zoomScaleNormal="85" workbookViewId="0">
      <selection activeCell="B2" sqref="B2"/>
    </sheetView>
  </sheetViews>
  <sheetFormatPr defaultRowHeight="15" x14ac:dyDescent="0.25"/>
  <cols>
    <col min="1" max="1" width="10.5703125" customWidth="1"/>
    <col min="2" max="2" width="45.85546875" customWidth="1"/>
    <col min="3" max="8" width="11" customWidth="1"/>
    <col min="9" max="9" width="16.85546875" customWidth="1"/>
    <col min="10" max="16" width="11" customWidth="1"/>
    <col min="17" max="18" width="15.85546875" customWidth="1"/>
  </cols>
  <sheetData>
    <row r="1" spans="1:18" ht="27.75" x14ac:dyDescent="0.25">
      <c r="A1" s="316" t="s">
        <v>313</v>
      </c>
    </row>
    <row r="2" spans="1:18" ht="28.5" thickBot="1" x14ac:dyDescent="0.3">
      <c r="A2" s="316"/>
    </row>
    <row r="3" spans="1:18" ht="15.75" customHeight="1" thickBot="1" x14ac:dyDescent="0.3">
      <c r="A3" s="979" t="s">
        <v>115</v>
      </c>
      <c r="B3" s="980"/>
      <c r="C3" s="317"/>
      <c r="D3" s="318"/>
      <c r="E3" s="318"/>
      <c r="F3" s="709">
        <v>0.2</v>
      </c>
      <c r="G3" s="317"/>
      <c r="H3" s="709">
        <v>0.1</v>
      </c>
      <c r="I3" s="317"/>
      <c r="J3" s="709">
        <v>0.1</v>
      </c>
      <c r="K3" s="317"/>
      <c r="L3" s="709">
        <v>0.5</v>
      </c>
      <c r="M3" s="710"/>
      <c r="N3" s="711">
        <v>3.5000000000000003E-2</v>
      </c>
      <c r="O3" s="710"/>
      <c r="P3" s="711">
        <v>6.5000000000000002E-2</v>
      </c>
      <c r="Q3" s="712">
        <f>SUM(F3:P3)</f>
        <v>1</v>
      </c>
      <c r="R3" s="713">
        <v>5.613349108840128E-2</v>
      </c>
    </row>
    <row r="4" spans="1:18" ht="30" customHeight="1" x14ac:dyDescent="0.25">
      <c r="A4" s="981" t="s">
        <v>2</v>
      </c>
      <c r="B4" s="983" t="s">
        <v>3</v>
      </c>
      <c r="C4" s="985" t="s">
        <v>116</v>
      </c>
      <c r="D4" s="986"/>
      <c r="E4" s="986"/>
      <c r="F4" s="987"/>
      <c r="G4" s="973" t="s">
        <v>117</v>
      </c>
      <c r="H4" s="974"/>
      <c r="I4" s="973" t="s">
        <v>118</v>
      </c>
      <c r="J4" s="974"/>
      <c r="K4" s="973" t="s">
        <v>119</v>
      </c>
      <c r="L4" s="974"/>
      <c r="M4" s="973" t="s">
        <v>170</v>
      </c>
      <c r="N4" s="974"/>
      <c r="O4" s="973" t="s">
        <v>120</v>
      </c>
      <c r="P4" s="974"/>
      <c r="Q4" s="975" t="s">
        <v>121</v>
      </c>
      <c r="R4" s="975" t="s">
        <v>122</v>
      </c>
    </row>
    <row r="5" spans="1:18" ht="15.75" thickBot="1" x14ac:dyDescent="0.3">
      <c r="A5" s="982"/>
      <c r="B5" s="984"/>
      <c r="C5" s="319" t="s">
        <v>123</v>
      </c>
      <c r="D5" s="320" t="s">
        <v>124</v>
      </c>
      <c r="E5" s="321" t="s">
        <v>28</v>
      </c>
      <c r="F5" s="322" t="s">
        <v>125</v>
      </c>
      <c r="G5" s="323" t="s">
        <v>28</v>
      </c>
      <c r="H5" s="324" t="s">
        <v>125</v>
      </c>
      <c r="I5" s="323" t="s">
        <v>28</v>
      </c>
      <c r="J5" s="324" t="s">
        <v>125</v>
      </c>
      <c r="K5" s="323" t="s">
        <v>28</v>
      </c>
      <c r="L5" s="324" t="s">
        <v>125</v>
      </c>
      <c r="M5" s="323" t="s">
        <v>28</v>
      </c>
      <c r="N5" s="324" t="s">
        <v>125</v>
      </c>
      <c r="O5" s="323" t="s">
        <v>28</v>
      </c>
      <c r="P5" s="324" t="s">
        <v>125</v>
      </c>
      <c r="Q5" s="976"/>
      <c r="R5" s="976"/>
    </row>
    <row r="6" spans="1:18" x14ac:dyDescent="0.25">
      <c r="A6" s="325">
        <v>51000</v>
      </c>
      <c r="B6" s="326" t="s">
        <v>23</v>
      </c>
      <c r="C6" s="714"/>
      <c r="D6" s="715"/>
      <c r="E6" s="716"/>
      <c r="F6" s="717">
        <f>0.5*F12+0.3*F18+0.2*F24</f>
        <v>0.3806234224921794</v>
      </c>
      <c r="G6" s="714"/>
      <c r="H6" s="717">
        <f>H12</f>
        <v>0.46696281573352888</v>
      </c>
      <c r="I6" s="714"/>
      <c r="J6" s="718">
        <f>J12</f>
        <v>0.5576787423961751</v>
      </c>
      <c r="K6" s="714"/>
      <c r="L6" s="717">
        <f>L12</f>
        <v>0.42065789327893566</v>
      </c>
      <c r="M6" s="714"/>
      <c r="N6" s="718">
        <f>N12</f>
        <v>0.82224398740041094</v>
      </c>
      <c r="O6" s="714"/>
      <c r="P6" s="717">
        <f>0.5*P18+0.3*P24+0.2*P30</f>
        <v>0.41172727927024655</v>
      </c>
      <c r="Q6" s="719">
        <f t="array" ref="Q6">SUM($C$3:$P$3*C6:P6)</f>
        <v>0.44445859966245449</v>
      </c>
      <c r="R6" s="720">
        <f>Q6*$R$3</f>
        <v>2.4949012843315702E-2</v>
      </c>
    </row>
    <row r="7" spans="1:18" x14ac:dyDescent="0.25">
      <c r="A7" s="325">
        <v>52000</v>
      </c>
      <c r="B7" s="327" t="s">
        <v>24</v>
      </c>
      <c r="C7" s="715"/>
      <c r="D7" s="715"/>
      <c r="E7" s="715"/>
      <c r="F7" s="721">
        <f>0.5*F13+0.3*F19+0.2*F25</f>
        <v>0.13043218990761196</v>
      </c>
      <c r="G7" s="722"/>
      <c r="H7" s="721">
        <f>H13</f>
        <v>0.10230494461347511</v>
      </c>
      <c r="I7" s="722"/>
      <c r="J7" s="723">
        <f>J13</f>
        <v>0.16206408523261562</v>
      </c>
      <c r="K7" s="722"/>
      <c r="L7" s="721">
        <f>L13</f>
        <v>0.14352254442829945</v>
      </c>
      <c r="M7" s="722"/>
      <c r="N7" s="723">
        <f>N13</f>
        <v>7.0175438596491221E-3</v>
      </c>
      <c r="O7" s="722"/>
      <c r="P7" s="721">
        <f>0.5*P19+0.3*P25+0.2*P31</f>
        <v>5.7991270841436154E-2</v>
      </c>
      <c r="Q7" s="724">
        <f t="array" ref="Q7">SUM($C$3:$P$3*C7:P7)</f>
        <v>0.12829965982006225</v>
      </c>
      <c r="R7" s="725">
        <f>Q7*$R$3</f>
        <v>7.2019078111543802E-3</v>
      </c>
    </row>
    <row r="8" spans="1:18" x14ac:dyDescent="0.25">
      <c r="A8" s="325">
        <v>53000</v>
      </c>
      <c r="B8" s="327" t="s">
        <v>25</v>
      </c>
      <c r="C8" s="715"/>
      <c r="D8" s="715"/>
      <c r="E8" s="715"/>
      <c r="F8" s="723">
        <f>0.5*F14+0.3*F20+0.2*F26</f>
        <v>0.26641511689245578</v>
      </c>
      <c r="G8" s="722"/>
      <c r="H8" s="721">
        <f>H14</f>
        <v>0.16875623662931544</v>
      </c>
      <c r="I8" s="722"/>
      <c r="J8" s="723">
        <f>J14</f>
        <v>0.15560272314017584</v>
      </c>
      <c r="K8" s="722"/>
      <c r="L8" s="721">
        <f>L14</f>
        <v>0.22859296601176934</v>
      </c>
      <c r="M8" s="722"/>
      <c r="N8" s="723">
        <f>N14</f>
        <v>0.1679126542035991</v>
      </c>
      <c r="O8" s="722"/>
      <c r="P8" s="721">
        <f>0.5*P20+0.3*P26+0.2*P32</f>
        <v>0.42621413070545988</v>
      </c>
      <c r="Q8" s="725">
        <f t="array" ref="Q8">SUM($C$3:$P$3*C8:P8)</f>
        <v>0.23359626375430587</v>
      </c>
      <c r="R8" s="725">
        <f>Q8*$R$3</f>
        <v>1.3112573789736163E-2</v>
      </c>
    </row>
    <row r="9" spans="1:18" ht="15" customHeight="1" thickBot="1" x14ac:dyDescent="0.3">
      <c r="A9" s="328">
        <v>54000</v>
      </c>
      <c r="B9" s="329" t="s">
        <v>314</v>
      </c>
      <c r="C9" s="726"/>
      <c r="D9" s="715"/>
      <c r="E9" s="727"/>
      <c r="F9" s="728">
        <f>0.5*F15+0.3*F21+0.2*F27</f>
        <v>0.22252927070775291</v>
      </c>
      <c r="G9" s="722"/>
      <c r="H9" s="721">
        <f>H15</f>
        <v>0.26197600302368051</v>
      </c>
      <c r="I9" s="722"/>
      <c r="J9" s="723">
        <f>J15</f>
        <v>0.12465444923103339</v>
      </c>
      <c r="K9" s="722"/>
      <c r="L9" s="721">
        <f>L15</f>
        <v>0.20722659628099549</v>
      </c>
      <c r="M9" s="722"/>
      <c r="N9" s="723">
        <f>N15</f>
        <v>2.8258145363408518E-3</v>
      </c>
      <c r="O9" s="722"/>
      <c r="P9" s="721">
        <f>0.5*P21+0.3*P27+0.2*P33</f>
        <v>0.10406731918285751</v>
      </c>
      <c r="Q9" s="724">
        <f t="array" ref="Q9">SUM($C$3:$P$3*C9:P9)</f>
        <v>0.19364547676317739</v>
      </c>
      <c r="R9" s="725">
        <f>Q9*$R$3</f>
        <v>1.0869996644195036E-2</v>
      </c>
    </row>
    <row r="10" spans="1:18" ht="15.75" thickBot="1" x14ac:dyDescent="0.3">
      <c r="A10" s="977" t="s">
        <v>126</v>
      </c>
      <c r="B10" s="978"/>
      <c r="C10" s="729"/>
      <c r="D10" s="729"/>
      <c r="E10" s="729"/>
      <c r="F10" s="730">
        <f>SUM(F6:F9)</f>
        <v>1</v>
      </c>
      <c r="G10" s="731"/>
      <c r="H10" s="732">
        <f>SUM(H6:H9)</f>
        <v>0.99999999999999989</v>
      </c>
      <c r="I10" s="731"/>
      <c r="J10" s="730">
        <f>SUM(J6:J9)</f>
        <v>1</v>
      </c>
      <c r="K10" s="731"/>
      <c r="L10" s="732">
        <f>SUM(L6:L9)</f>
        <v>1</v>
      </c>
      <c r="M10" s="731"/>
      <c r="N10" s="730">
        <f>SUM(N6:N9)</f>
        <v>1</v>
      </c>
      <c r="O10" s="731"/>
      <c r="P10" s="732">
        <f>SUM(P6:P9)</f>
        <v>1.0000000000000002</v>
      </c>
      <c r="Q10" s="733">
        <f>SUM(Q6:Q9)</f>
        <v>1</v>
      </c>
      <c r="R10" s="734">
        <f>SUM(R6:R9)</f>
        <v>5.613349108840128E-2</v>
      </c>
    </row>
    <row r="11" spans="1:18" ht="15.75" thickBot="1" x14ac:dyDescent="0.3"/>
    <row r="12" spans="1:18" x14ac:dyDescent="0.25">
      <c r="A12" s="330">
        <v>51000</v>
      </c>
      <c r="B12" s="326" t="s">
        <v>23</v>
      </c>
      <c r="C12" s="735">
        <v>8581</v>
      </c>
      <c r="D12" s="735">
        <v>21683</v>
      </c>
      <c r="E12" s="735">
        <f>SUM(D12,C12)</f>
        <v>30264</v>
      </c>
      <c r="F12" s="717">
        <f>E12/$E$16</f>
        <v>0.40232375736144532</v>
      </c>
      <c r="G12" s="736">
        <v>1376.5538773057717</v>
      </c>
      <c r="H12" s="717">
        <f>G12/$G$16</f>
        <v>0.46696281573352888</v>
      </c>
      <c r="I12" s="736"/>
      <c r="J12" s="718">
        <v>0.5576787423961751</v>
      </c>
      <c r="K12" s="736">
        <v>126993.625</v>
      </c>
      <c r="L12" s="717">
        <f>K12/$K$16</f>
        <v>0.42065789327893566</v>
      </c>
      <c r="M12" s="736"/>
      <c r="N12" s="717">
        <v>0.82224398740041094</v>
      </c>
    </row>
    <row r="13" spans="1:18" x14ac:dyDescent="0.25">
      <c r="A13" s="325">
        <v>52000</v>
      </c>
      <c r="B13" s="327" t="s">
        <v>24</v>
      </c>
      <c r="C13" s="737">
        <v>3090</v>
      </c>
      <c r="D13" s="737">
        <v>8474</v>
      </c>
      <c r="E13" s="737">
        <f>SUM(D13,C13)</f>
        <v>11564</v>
      </c>
      <c r="F13" s="721">
        <f>E13/$E$16</f>
        <v>0.15372957738989404</v>
      </c>
      <c r="G13" s="738">
        <v>301.58347395179891</v>
      </c>
      <c r="H13" s="721">
        <f>G13/$G$16</f>
        <v>0.10230494461347511</v>
      </c>
      <c r="I13" s="738"/>
      <c r="J13" s="723">
        <v>0.16206408523261562</v>
      </c>
      <c r="K13" s="738">
        <v>43328.434999999998</v>
      </c>
      <c r="L13" s="721">
        <f>K13/$K$16</f>
        <v>0.14352254442829945</v>
      </c>
      <c r="M13" s="738"/>
      <c r="N13" s="721">
        <v>7.0175438596491221E-3</v>
      </c>
    </row>
    <row r="14" spans="1:18" x14ac:dyDescent="0.25">
      <c r="A14" s="325">
        <v>53000</v>
      </c>
      <c r="B14" s="327" t="s">
        <v>25</v>
      </c>
      <c r="C14" s="737">
        <v>5571</v>
      </c>
      <c r="D14" s="737">
        <v>14223</v>
      </c>
      <c r="E14" s="737">
        <f>SUM(D14,C14)</f>
        <v>19794</v>
      </c>
      <c r="F14" s="723">
        <f>E14/$E$16</f>
        <v>0.26313760419020776</v>
      </c>
      <c r="G14" s="738">
        <v>497.47441129054914</v>
      </c>
      <c r="H14" s="721">
        <f>G14/$G$16</f>
        <v>0.16875623662931544</v>
      </c>
      <c r="I14" s="738"/>
      <c r="J14" s="723">
        <v>0.15560272314017584</v>
      </c>
      <c r="K14" s="738">
        <v>69010.59</v>
      </c>
      <c r="L14" s="721">
        <f>K14/$K$16</f>
        <v>0.22859296601176934</v>
      </c>
      <c r="M14" s="738"/>
      <c r="N14" s="721">
        <v>0.1679126542035991</v>
      </c>
    </row>
    <row r="15" spans="1:18" ht="15" customHeight="1" thickBot="1" x14ac:dyDescent="0.3">
      <c r="A15" s="328">
        <v>54000</v>
      </c>
      <c r="B15" s="329" t="s">
        <v>314</v>
      </c>
      <c r="C15" s="739">
        <v>4039</v>
      </c>
      <c r="D15" s="737">
        <v>9562</v>
      </c>
      <c r="E15" s="739">
        <f>SUM(D15,C15)</f>
        <v>13601</v>
      </c>
      <c r="F15" s="728">
        <f>E15/$E$16</f>
        <v>0.18080906105845287</v>
      </c>
      <c r="G15" s="738">
        <v>772.27580135439553</v>
      </c>
      <c r="H15" s="721">
        <f>G15/$G$16</f>
        <v>0.26197600302368051</v>
      </c>
      <c r="I15" s="738"/>
      <c r="J15" s="723">
        <v>0.12465444923103339</v>
      </c>
      <c r="K15" s="738">
        <v>62560.235000000001</v>
      </c>
      <c r="L15" s="721">
        <f>K15/$K$16</f>
        <v>0.20722659628099549</v>
      </c>
      <c r="M15" s="738"/>
      <c r="N15" s="721">
        <v>2.8258145363408518E-3</v>
      </c>
    </row>
    <row r="16" spans="1:18" ht="15.75" thickBot="1" x14ac:dyDescent="0.3">
      <c r="A16" s="331">
        <v>2022</v>
      </c>
      <c r="B16" s="332" t="s">
        <v>126</v>
      </c>
      <c r="C16" s="740">
        <f t="shared" ref="C16:H16" si="0">SUM(C12:C15)</f>
        <v>21281</v>
      </c>
      <c r="D16" s="740">
        <f t="shared" si="0"/>
        <v>53942</v>
      </c>
      <c r="E16" s="740">
        <f t="shared" si="0"/>
        <v>75223</v>
      </c>
      <c r="F16" s="730">
        <f t="shared" si="0"/>
        <v>0.99999999999999989</v>
      </c>
      <c r="G16" s="741">
        <f t="shared" si="0"/>
        <v>2947.8875639025155</v>
      </c>
      <c r="H16" s="732">
        <f t="shared" si="0"/>
        <v>0.99999999999999989</v>
      </c>
      <c r="I16" s="741"/>
      <c r="J16" s="730">
        <f>SUM(J12:J15)</f>
        <v>1</v>
      </c>
      <c r="K16" s="741">
        <f>SUM(K12:K15)</f>
        <v>301892.88500000001</v>
      </c>
      <c r="L16" s="732">
        <f>SUM(L12:L15)</f>
        <v>1</v>
      </c>
      <c r="M16" s="741"/>
      <c r="N16" s="732">
        <f>SUM(N12:N15)</f>
        <v>1</v>
      </c>
    </row>
    <row r="17" spans="1:16" ht="15.75" thickBot="1" x14ac:dyDescent="0.3"/>
    <row r="18" spans="1:16" x14ac:dyDescent="0.25">
      <c r="A18" s="330">
        <v>51000</v>
      </c>
      <c r="B18" s="326" t="s">
        <v>23</v>
      </c>
      <c r="C18" s="735">
        <v>6443</v>
      </c>
      <c r="D18" s="735">
        <v>7509</v>
      </c>
      <c r="E18" s="735">
        <f>C18+D18</f>
        <v>13952</v>
      </c>
      <c r="F18" s="717">
        <f>E18/$E$22</f>
        <v>0.37604441809066896</v>
      </c>
      <c r="G18" s="11"/>
      <c r="H18" s="742"/>
      <c r="I18" s="11"/>
      <c r="J18" s="742"/>
      <c r="K18" s="11"/>
      <c r="L18" s="742"/>
      <c r="O18" s="736">
        <v>18474.29479</v>
      </c>
      <c r="P18" s="717">
        <f>O18/$O$22</f>
        <v>0.3793384099105731</v>
      </c>
    </row>
    <row r="19" spans="1:16" x14ac:dyDescent="0.25">
      <c r="A19" s="325">
        <v>52000</v>
      </c>
      <c r="B19" s="327" t="s">
        <v>24</v>
      </c>
      <c r="C19" s="737">
        <v>701</v>
      </c>
      <c r="D19" s="737">
        <v>1166</v>
      </c>
      <c r="E19" s="737">
        <f>C19+D19</f>
        <v>1867</v>
      </c>
      <c r="F19" s="721">
        <f>E19/$E$22</f>
        <v>5.0320737426553824E-2</v>
      </c>
      <c r="G19" s="11"/>
      <c r="H19" s="742"/>
      <c r="I19" s="11"/>
      <c r="J19" s="742"/>
      <c r="K19" s="11"/>
      <c r="L19" s="742"/>
      <c r="O19" s="738">
        <v>2642</v>
      </c>
      <c r="P19" s="721">
        <f>O19/$O$22</f>
        <v>5.4249003297610267E-2</v>
      </c>
    </row>
    <row r="20" spans="1:16" x14ac:dyDescent="0.25">
      <c r="A20" s="325">
        <v>53000</v>
      </c>
      <c r="B20" s="327" t="s">
        <v>25</v>
      </c>
      <c r="C20" s="737">
        <v>4056</v>
      </c>
      <c r="D20" s="737">
        <v>5897</v>
      </c>
      <c r="E20" s="737">
        <f>C20+D20</f>
        <v>9953</v>
      </c>
      <c r="F20" s="721">
        <f>E20/$E$22</f>
        <v>0.26826047113363161</v>
      </c>
      <c r="G20" s="11"/>
      <c r="H20" s="742"/>
      <c r="I20" s="11"/>
      <c r="J20" s="742"/>
      <c r="K20" s="11"/>
      <c r="L20" s="742"/>
      <c r="O20" s="738">
        <v>22774</v>
      </c>
      <c r="P20" s="721">
        <f>O20/$O$22</f>
        <v>0.46762558709302654</v>
      </c>
    </row>
    <row r="21" spans="1:16" ht="15" customHeight="1" thickBot="1" x14ac:dyDescent="0.3">
      <c r="A21" s="328">
        <v>54000</v>
      </c>
      <c r="B21" s="329" t="s">
        <v>314</v>
      </c>
      <c r="C21" s="739">
        <v>5158</v>
      </c>
      <c r="D21" s="737">
        <v>6172</v>
      </c>
      <c r="E21" s="739">
        <f>C21+D21</f>
        <v>11330</v>
      </c>
      <c r="F21" s="728">
        <f>E21/$E$22</f>
        <v>0.30537437334914558</v>
      </c>
      <c r="G21" s="11"/>
      <c r="H21" s="742"/>
      <c r="I21" s="11"/>
      <c r="J21" s="742"/>
      <c r="K21" s="11"/>
      <c r="L21" s="742"/>
      <c r="O21" s="738">
        <v>4811.0607999999993</v>
      </c>
      <c r="P21" s="721">
        <f>O21/$O$22</f>
        <v>9.8786999698790096E-2</v>
      </c>
    </row>
    <row r="22" spans="1:16" ht="15.75" thickBot="1" x14ac:dyDescent="0.3">
      <c r="A22" s="331">
        <v>2021</v>
      </c>
      <c r="B22" s="332" t="s">
        <v>126</v>
      </c>
      <c r="C22" s="741">
        <f>SUM(C18:C21)</f>
        <v>16358</v>
      </c>
      <c r="D22" s="740">
        <f>SUM(D18:D21)</f>
        <v>20744</v>
      </c>
      <c r="E22" s="740">
        <f>SUM(E18:E21)</f>
        <v>37102</v>
      </c>
      <c r="F22" s="732">
        <f>SUM(F18:F21)</f>
        <v>1</v>
      </c>
      <c r="G22" s="662"/>
      <c r="H22" s="743"/>
      <c r="I22" s="662"/>
      <c r="J22" s="743"/>
      <c r="K22" s="662"/>
      <c r="L22" s="743"/>
      <c r="O22" s="741">
        <f>SUM(O18:O21)</f>
        <v>48701.355589999999</v>
      </c>
      <c r="P22" s="732">
        <f>SUM(P18:P21)</f>
        <v>1</v>
      </c>
    </row>
    <row r="23" spans="1:16" ht="15.75" thickBot="1" x14ac:dyDescent="0.3"/>
    <row r="24" spans="1:16" x14ac:dyDescent="0.25">
      <c r="A24" s="330">
        <v>51000</v>
      </c>
      <c r="B24" s="326" t="s">
        <v>23</v>
      </c>
      <c r="C24" s="736">
        <v>10178</v>
      </c>
      <c r="D24" s="735">
        <v>10294</v>
      </c>
      <c r="E24" s="735">
        <f>C24+D24</f>
        <v>20472</v>
      </c>
      <c r="F24" s="717">
        <f>E24/$E$28</f>
        <v>0.3332410919212801</v>
      </c>
      <c r="O24" s="736">
        <v>18023.29852</v>
      </c>
      <c r="P24" s="717">
        <f>O24/$O$28</f>
        <v>0.42911052825868617</v>
      </c>
    </row>
    <row r="25" spans="1:16" x14ac:dyDescent="0.25">
      <c r="A25" s="325">
        <v>52000</v>
      </c>
      <c r="B25" s="327" t="s">
        <v>24</v>
      </c>
      <c r="C25" s="738">
        <v>4826</v>
      </c>
      <c r="D25" s="737">
        <v>6991</v>
      </c>
      <c r="E25" s="737">
        <f>C25+D25</f>
        <v>11817</v>
      </c>
      <c r="F25" s="721">
        <f>E25/$E$28</f>
        <v>0.19235589992349389</v>
      </c>
      <c r="O25" s="738">
        <v>2088</v>
      </c>
      <c r="P25" s="721">
        <f>O25/$O$28</f>
        <v>4.9712475327969921E-2</v>
      </c>
    </row>
    <row r="26" spans="1:16" x14ac:dyDescent="0.25">
      <c r="A26" s="325">
        <v>53000</v>
      </c>
      <c r="B26" s="327" t="s">
        <v>25</v>
      </c>
      <c r="C26" s="738">
        <v>5804</v>
      </c>
      <c r="D26" s="737">
        <v>10896</v>
      </c>
      <c r="E26" s="737">
        <f>C26+D26</f>
        <v>16700</v>
      </c>
      <c r="F26" s="721">
        <f>E26/$E$28</f>
        <v>0.2718408672863119</v>
      </c>
      <c r="O26" s="738">
        <v>17892</v>
      </c>
      <c r="P26" s="721">
        <f>O26/$O$28</f>
        <v>0.42598448686208706</v>
      </c>
    </row>
    <row r="27" spans="1:16" ht="15" customHeight="1" thickBot="1" x14ac:dyDescent="0.3">
      <c r="A27" s="328">
        <v>54000</v>
      </c>
      <c r="B27" s="329" t="s">
        <v>314</v>
      </c>
      <c r="C27" s="744">
        <v>6593</v>
      </c>
      <c r="D27" s="737">
        <v>5851</v>
      </c>
      <c r="E27" s="739">
        <f>C27+D27</f>
        <v>12444</v>
      </c>
      <c r="F27" s="728">
        <f>E27/$E$28</f>
        <v>0.20256214086891411</v>
      </c>
      <c r="O27" s="738">
        <v>3998.2309999999998</v>
      </c>
      <c r="P27" s="721">
        <f>O27/$O$28</f>
        <v>9.5192509551256937E-2</v>
      </c>
    </row>
    <row r="28" spans="1:16" ht="15.75" thickBot="1" x14ac:dyDescent="0.3">
      <c r="A28" s="331">
        <v>2020</v>
      </c>
      <c r="B28" s="332" t="s">
        <v>126</v>
      </c>
      <c r="C28" s="741">
        <f>SUM(C24:C27)</f>
        <v>27401</v>
      </c>
      <c r="D28" s="740">
        <f>SUM(D24:D27)</f>
        <v>34032</v>
      </c>
      <c r="E28" s="740">
        <f>SUM(E24:E27)</f>
        <v>61433</v>
      </c>
      <c r="F28" s="732">
        <f>SUM(F24:F27)</f>
        <v>1</v>
      </c>
      <c r="I28" s="11"/>
      <c r="O28" s="741">
        <f>SUM(O24:O27)</f>
        <v>42001.529519999996</v>
      </c>
      <c r="P28" s="732">
        <f>SUM(P24:P27)</f>
        <v>1</v>
      </c>
    </row>
    <row r="29" spans="1:16" ht="15.75" thickBot="1" x14ac:dyDescent="0.3"/>
    <row r="30" spans="1:16" x14ac:dyDescent="0.25">
      <c r="A30" s="330">
        <v>51000</v>
      </c>
      <c r="B30" s="326" t="s">
        <v>23</v>
      </c>
      <c r="O30" s="736">
        <v>16105</v>
      </c>
      <c r="P30" s="717">
        <f>O30/$O$34</f>
        <v>0.46662457918677058</v>
      </c>
    </row>
    <row r="31" spans="1:16" x14ac:dyDescent="0.25">
      <c r="A31" s="325">
        <v>52000</v>
      </c>
      <c r="B31" s="327" t="s">
        <v>24</v>
      </c>
      <c r="O31" s="738">
        <v>2753</v>
      </c>
      <c r="P31" s="721">
        <f>O31/$O$34</f>
        <v>7.976513297120022E-2</v>
      </c>
    </row>
    <row r="32" spans="1:16" x14ac:dyDescent="0.25">
      <c r="A32" s="325">
        <v>53000</v>
      </c>
      <c r="B32" s="327" t="s">
        <v>25</v>
      </c>
      <c r="O32" s="738">
        <v>11149</v>
      </c>
      <c r="P32" s="721">
        <f>O32/$O$34</f>
        <v>0.32302995550160235</v>
      </c>
    </row>
    <row r="33" spans="1:16" ht="15" customHeight="1" thickBot="1" x14ac:dyDescent="0.3">
      <c r="A33" s="328">
        <v>54000</v>
      </c>
      <c r="B33" s="329" t="s">
        <v>314</v>
      </c>
      <c r="O33" s="738">
        <v>4506.8269999999993</v>
      </c>
      <c r="P33" s="721">
        <f>O33/$O$34</f>
        <v>0.1305803323404269</v>
      </c>
    </row>
    <row r="34" spans="1:16" ht="15.75" thickBot="1" x14ac:dyDescent="0.3">
      <c r="A34" s="331">
        <v>2019</v>
      </c>
      <c r="B34" s="332" t="s">
        <v>126</v>
      </c>
      <c r="O34" s="741">
        <f>SUM(O30:O33)</f>
        <v>34513.826999999997</v>
      </c>
      <c r="P34" s="732">
        <f>SUM(P30:P33)</f>
        <v>1</v>
      </c>
    </row>
    <row r="36" spans="1:16" x14ac:dyDescent="0.25">
      <c r="A36" s="618" t="s">
        <v>269</v>
      </c>
    </row>
    <row r="37" spans="1:16" x14ac:dyDescent="0.25">
      <c r="A37" s="38"/>
    </row>
  </sheetData>
  <mergeCells count="12">
    <mergeCell ref="G4:H4"/>
    <mergeCell ref="I4:J4"/>
    <mergeCell ref="A10:B10"/>
    <mergeCell ref="A3:B3"/>
    <mergeCell ref="A4:A5"/>
    <mergeCell ref="B4:B5"/>
    <mergeCell ref="C4:F4"/>
    <mergeCell ref="K4:L4"/>
    <mergeCell ref="M4:N4"/>
    <mergeCell ref="O4:P4"/>
    <mergeCell ref="Q4:Q5"/>
    <mergeCell ref="R4:R5"/>
  </mergeCells>
  <hyperlinks>
    <hyperlink ref="A36" location="'0 Seznam'!A1" display="Seznam" xr:uid="{87D77322-34EF-4561-9C6A-088FAD5BE130}"/>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66"/>
  </sheetPr>
  <dimension ref="A1:J22"/>
  <sheetViews>
    <sheetView zoomScale="85" zoomScaleNormal="85" workbookViewId="0">
      <selection activeCell="B2" sqref="B2"/>
    </sheetView>
  </sheetViews>
  <sheetFormatPr defaultRowHeight="15" x14ac:dyDescent="0.25"/>
  <cols>
    <col min="1" max="1" width="10.5703125" customWidth="1"/>
    <col min="2" max="2" width="61.5703125" bestFit="1" customWidth="1"/>
    <col min="3" max="8" width="11" customWidth="1"/>
    <col min="9" max="10" width="15.85546875" customWidth="1"/>
  </cols>
  <sheetData>
    <row r="1" spans="1:10" ht="27.75" x14ac:dyDescent="0.25">
      <c r="A1" s="316" t="s">
        <v>315</v>
      </c>
    </row>
    <row r="2" spans="1:10" ht="15.75" thickBot="1" x14ac:dyDescent="0.3"/>
    <row r="3" spans="1:10" ht="15.75" customHeight="1" thickBot="1" x14ac:dyDescent="0.3">
      <c r="A3" s="979" t="s">
        <v>115</v>
      </c>
      <c r="B3" s="980"/>
      <c r="C3" s="317"/>
      <c r="D3" s="709">
        <v>0.4</v>
      </c>
      <c r="E3" s="317"/>
      <c r="F3" s="709">
        <v>0.2</v>
      </c>
      <c r="G3" s="317"/>
      <c r="H3" s="318">
        <v>0.4</v>
      </c>
      <c r="I3" s="745">
        <f>SUM(D3:H3)</f>
        <v>1</v>
      </c>
      <c r="J3" s="713">
        <v>1.3155031502482598E-2</v>
      </c>
    </row>
    <row r="4" spans="1:10" ht="30" customHeight="1" x14ac:dyDescent="0.25">
      <c r="A4" s="981" t="s">
        <v>2</v>
      </c>
      <c r="B4" s="983" t="s">
        <v>3</v>
      </c>
      <c r="C4" s="973" t="s">
        <v>127</v>
      </c>
      <c r="D4" s="974"/>
      <c r="E4" s="973" t="s">
        <v>116</v>
      </c>
      <c r="F4" s="974"/>
      <c r="G4" s="973" t="s">
        <v>128</v>
      </c>
      <c r="H4" s="990"/>
      <c r="I4" s="975" t="s">
        <v>121</v>
      </c>
      <c r="J4" s="975" t="s">
        <v>122</v>
      </c>
    </row>
    <row r="5" spans="1:10" ht="15.75" thickBot="1" x14ac:dyDescent="0.3">
      <c r="A5" s="982"/>
      <c r="B5" s="984"/>
      <c r="C5" s="323" t="s">
        <v>28</v>
      </c>
      <c r="D5" s="324" t="s">
        <v>125</v>
      </c>
      <c r="E5" s="333" t="s">
        <v>123</v>
      </c>
      <c r="F5" s="322" t="s">
        <v>125</v>
      </c>
      <c r="G5" s="323" t="s">
        <v>28</v>
      </c>
      <c r="H5" s="334" t="s">
        <v>125</v>
      </c>
      <c r="I5" s="976"/>
      <c r="J5" s="976"/>
    </row>
    <row r="6" spans="1:10" x14ac:dyDescent="0.25">
      <c r="A6" s="335">
        <v>55000</v>
      </c>
      <c r="B6" s="336" t="s">
        <v>26</v>
      </c>
      <c r="C6" s="746"/>
      <c r="D6" s="747">
        <f>D10</f>
        <v>0.55547649962703161</v>
      </c>
      <c r="E6" s="746"/>
      <c r="F6" s="747">
        <f>0.5*F10+0.3*F14+0.2*F18</f>
        <v>0.24119461050271468</v>
      </c>
      <c r="G6" s="746"/>
      <c r="H6" s="748">
        <f>H10</f>
        <v>0.60971300077836543</v>
      </c>
      <c r="I6" s="749">
        <f t="array" ref="I6">SUM($C$3:$H$3*C6:H6)</f>
        <v>0.51431472226270181</v>
      </c>
      <c r="J6" s="749">
        <f>I6*$J$3</f>
        <v>6.7658263735564305E-3</v>
      </c>
    </row>
    <row r="7" spans="1:10" ht="15" customHeight="1" thickBot="1" x14ac:dyDescent="0.3">
      <c r="A7" s="337">
        <v>56000</v>
      </c>
      <c r="B7" s="338" t="s">
        <v>27</v>
      </c>
      <c r="C7" s="750"/>
      <c r="D7" s="751">
        <f>D11</f>
        <v>0.44452350037296834</v>
      </c>
      <c r="E7" s="752"/>
      <c r="F7" s="753">
        <f>0.5*F11+0.3*F15+0.2*F19</f>
        <v>0.75880538949728527</v>
      </c>
      <c r="G7" s="750"/>
      <c r="H7" s="754">
        <f>H11</f>
        <v>0.39028699922163446</v>
      </c>
      <c r="I7" s="755">
        <f t="array" ref="I7">SUM($C$3:$H$3*C7:H7)</f>
        <v>0.48568527773729819</v>
      </c>
      <c r="J7" s="755">
        <f>I7*$J$3</f>
        <v>6.3892051289261677E-3</v>
      </c>
    </row>
    <row r="8" spans="1:10" ht="15.75" thickBot="1" x14ac:dyDescent="0.3">
      <c r="A8" s="988" t="s">
        <v>126</v>
      </c>
      <c r="B8" s="989"/>
      <c r="C8" s="756"/>
      <c r="D8" s="757">
        <f>SUM(D6:D7)</f>
        <v>1</v>
      </c>
      <c r="E8" s="758"/>
      <c r="F8" s="759">
        <f>SUM(F6:F7)</f>
        <v>1</v>
      </c>
      <c r="G8" s="756"/>
      <c r="H8" s="759">
        <f>SUM(H6:H7)</f>
        <v>0.99999999999999989</v>
      </c>
      <c r="I8" s="760">
        <f>SUM(I6:I7)</f>
        <v>1</v>
      </c>
      <c r="J8" s="760">
        <f>SUM(J6:J7)</f>
        <v>1.3155031502482598E-2</v>
      </c>
    </row>
    <row r="9" spans="1:10" ht="15.75" thickBot="1" x14ac:dyDescent="0.3">
      <c r="C9" s="11"/>
      <c r="E9" s="11"/>
      <c r="G9" s="11"/>
    </row>
    <row r="10" spans="1:10" x14ac:dyDescent="0.25">
      <c r="A10" s="339">
        <v>55000</v>
      </c>
      <c r="B10" s="336" t="s">
        <v>26</v>
      </c>
      <c r="C10" s="746">
        <v>881.26908023483372</v>
      </c>
      <c r="D10" s="747">
        <f>C10/$C$12</f>
        <v>0.55547649962703161</v>
      </c>
      <c r="E10" s="746">
        <v>2811</v>
      </c>
      <c r="F10" s="747">
        <f>E10/$E$12</f>
        <v>0.23423048079326722</v>
      </c>
      <c r="G10" s="746">
        <v>456.96664779288693</v>
      </c>
      <c r="H10" s="747">
        <f>G10/$G$12</f>
        <v>0.60971300077836543</v>
      </c>
    </row>
    <row r="11" spans="1:10" ht="15" customHeight="1" thickBot="1" x14ac:dyDescent="0.3">
      <c r="A11" s="337">
        <v>56000</v>
      </c>
      <c r="B11" s="338" t="s">
        <v>27</v>
      </c>
      <c r="C11" s="750">
        <v>705.24102564102566</v>
      </c>
      <c r="D11" s="751">
        <f>C11/$C$12</f>
        <v>0.44452350037296834</v>
      </c>
      <c r="E11" s="752">
        <v>9190</v>
      </c>
      <c r="F11" s="753">
        <f>E11/$E$12</f>
        <v>0.76576951920673275</v>
      </c>
      <c r="G11" s="750">
        <v>292.51162675516912</v>
      </c>
      <c r="H11" s="751">
        <f>G11/$G$12</f>
        <v>0.39028699922163446</v>
      </c>
    </row>
    <row r="12" spans="1:10" ht="15.75" thickBot="1" x14ac:dyDescent="0.3">
      <c r="A12" s="340">
        <v>2022</v>
      </c>
      <c r="B12" s="341" t="s">
        <v>126</v>
      </c>
      <c r="C12" s="756">
        <f t="shared" ref="C12:H12" si="0">SUM(C10:C11)</f>
        <v>1586.5101058758594</v>
      </c>
      <c r="D12" s="757">
        <f t="shared" si="0"/>
        <v>1</v>
      </c>
      <c r="E12" s="758">
        <f t="shared" si="0"/>
        <v>12001</v>
      </c>
      <c r="F12" s="759">
        <f t="shared" si="0"/>
        <v>1</v>
      </c>
      <c r="G12" s="756">
        <f t="shared" si="0"/>
        <v>749.47827454805611</v>
      </c>
      <c r="H12" s="757">
        <f t="shared" si="0"/>
        <v>0.99999999999999989</v>
      </c>
    </row>
    <row r="13" spans="1:10" ht="15.75" thickBot="1" x14ac:dyDescent="0.3">
      <c r="C13" s="11"/>
      <c r="E13" s="11"/>
      <c r="G13" s="11"/>
    </row>
    <row r="14" spans="1:10" x14ac:dyDescent="0.25">
      <c r="A14" s="339">
        <v>55000</v>
      </c>
      <c r="B14" s="336" t="s">
        <v>26</v>
      </c>
      <c r="E14" s="746">
        <v>1229</v>
      </c>
      <c r="F14" s="747">
        <f>E14/$E$16</f>
        <v>0.18283249033025886</v>
      </c>
    </row>
    <row r="15" spans="1:10" ht="15" customHeight="1" thickBot="1" x14ac:dyDescent="0.3">
      <c r="A15" s="337">
        <v>56000</v>
      </c>
      <c r="B15" s="338" t="s">
        <v>27</v>
      </c>
      <c r="C15" s="761"/>
      <c r="D15" s="742"/>
      <c r="E15" s="752">
        <v>5493</v>
      </c>
      <c r="F15" s="753">
        <f>E15/$E$16</f>
        <v>0.81716750966974117</v>
      </c>
      <c r="H15" s="742"/>
    </row>
    <row r="16" spans="1:10" ht="15.75" thickBot="1" x14ac:dyDescent="0.3">
      <c r="A16" s="340">
        <v>2021</v>
      </c>
      <c r="B16" s="341" t="s">
        <v>126</v>
      </c>
      <c r="C16" s="761"/>
      <c r="D16" s="742"/>
      <c r="E16" s="756">
        <f>SUM(E14:E15)</f>
        <v>6722</v>
      </c>
      <c r="F16" s="757">
        <f>SUM(F14:F15)</f>
        <v>1</v>
      </c>
      <c r="H16" s="742"/>
    </row>
    <row r="17" spans="1:8" ht="15.75" thickBot="1" x14ac:dyDescent="0.3">
      <c r="C17" s="762"/>
      <c r="D17" s="743"/>
      <c r="E17" s="11"/>
      <c r="G17" s="661"/>
      <c r="H17" s="743"/>
    </row>
    <row r="18" spans="1:8" x14ac:dyDescent="0.25">
      <c r="A18" s="339">
        <v>55000</v>
      </c>
      <c r="B18" s="336" t="s">
        <v>26</v>
      </c>
      <c r="E18" s="746">
        <v>2323</v>
      </c>
      <c r="F18" s="747">
        <f>E18/$E$20</f>
        <v>0.34614811503501713</v>
      </c>
    </row>
    <row r="19" spans="1:8" ht="15" customHeight="1" thickBot="1" x14ac:dyDescent="0.3">
      <c r="A19" s="337">
        <v>56000</v>
      </c>
      <c r="B19" s="338" t="s">
        <v>27</v>
      </c>
      <c r="E19" s="752">
        <v>4388</v>
      </c>
      <c r="F19" s="753">
        <f>E19/$E$20</f>
        <v>0.65385188496498281</v>
      </c>
    </row>
    <row r="20" spans="1:8" ht="15.75" thickBot="1" x14ac:dyDescent="0.3">
      <c r="A20" s="340">
        <v>2020</v>
      </c>
      <c r="B20" s="341" t="s">
        <v>126</v>
      </c>
      <c r="E20" s="756">
        <f>SUM(E18:E19)</f>
        <v>6711</v>
      </c>
      <c r="F20" s="757">
        <f>SUM(F18:F19)</f>
        <v>1</v>
      </c>
    </row>
    <row r="21" spans="1:8" x14ac:dyDescent="0.25">
      <c r="E21" s="11"/>
    </row>
    <row r="22" spans="1:8" x14ac:dyDescent="0.25">
      <c r="A22" s="618" t="s">
        <v>269</v>
      </c>
    </row>
  </sheetData>
  <mergeCells count="9">
    <mergeCell ref="I4:I5"/>
    <mergeCell ref="J4:J5"/>
    <mergeCell ref="A8:B8"/>
    <mergeCell ref="A3:B3"/>
    <mergeCell ref="A4:A5"/>
    <mergeCell ref="B4:B5"/>
    <mergeCell ref="C4:D4"/>
    <mergeCell ref="E4:F4"/>
    <mergeCell ref="G4:H4"/>
  </mergeCells>
  <hyperlinks>
    <hyperlink ref="A22" location="'0 Seznam'!A1" display="Seznam" xr:uid="{A4AD7EA4-0C3C-410A-A1FB-CAAE41A0B074}"/>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4B084"/>
  </sheetPr>
  <dimension ref="A1:V91"/>
  <sheetViews>
    <sheetView zoomScale="85" zoomScaleNormal="85" workbookViewId="0">
      <selection activeCell="H56" sqref="H56"/>
    </sheetView>
  </sheetViews>
  <sheetFormatPr defaultRowHeight="15" x14ac:dyDescent="0.25"/>
  <cols>
    <col min="1" max="1" width="10.5703125" customWidth="1"/>
    <col min="2" max="2" width="52.28515625" customWidth="1"/>
    <col min="3" max="20" width="10.85546875" customWidth="1"/>
    <col min="21" max="22" width="15.7109375" customWidth="1"/>
  </cols>
  <sheetData>
    <row r="1" spans="1:22" ht="27.75" x14ac:dyDescent="0.25">
      <c r="A1" s="316" t="s">
        <v>316</v>
      </c>
    </row>
    <row r="2" spans="1:22" ht="15.75" thickBot="1" x14ac:dyDescent="0.3"/>
    <row r="3" spans="1:22" ht="15.75" customHeight="1" thickBot="1" x14ac:dyDescent="0.3">
      <c r="A3" s="979" t="s">
        <v>115</v>
      </c>
      <c r="B3" s="980"/>
      <c r="C3" s="317"/>
      <c r="D3" s="711">
        <v>0.15</v>
      </c>
      <c r="E3" s="710"/>
      <c r="F3" s="763"/>
      <c r="G3" s="763"/>
      <c r="H3" s="711">
        <v>0.22</v>
      </c>
      <c r="I3" s="710"/>
      <c r="J3" s="711">
        <v>0.1</v>
      </c>
      <c r="K3" s="710"/>
      <c r="L3" s="711">
        <v>0.3</v>
      </c>
      <c r="M3" s="710"/>
      <c r="N3" s="711">
        <v>0.03</v>
      </c>
      <c r="O3" s="710"/>
      <c r="P3" s="711">
        <v>3.5000000000000003E-2</v>
      </c>
      <c r="Q3" s="710"/>
      <c r="R3" s="711">
        <v>6.5000000000000002E-2</v>
      </c>
      <c r="S3" s="710"/>
      <c r="T3" s="711">
        <v>0.1</v>
      </c>
      <c r="U3" s="764">
        <f>SUM(C3:T3)</f>
        <v>1.0000000000000002</v>
      </c>
      <c r="V3" s="713">
        <v>0.38670456807660647</v>
      </c>
    </row>
    <row r="4" spans="1:22" ht="30" customHeight="1" x14ac:dyDescent="0.25">
      <c r="A4" s="981" t="s">
        <v>2</v>
      </c>
      <c r="B4" s="983" t="s">
        <v>3</v>
      </c>
      <c r="C4" s="973" t="s">
        <v>127</v>
      </c>
      <c r="D4" s="974"/>
      <c r="E4" s="994" t="s">
        <v>116</v>
      </c>
      <c r="F4" s="995"/>
      <c r="G4" s="995"/>
      <c r="H4" s="996"/>
      <c r="I4" s="973" t="s">
        <v>117</v>
      </c>
      <c r="J4" s="974"/>
      <c r="K4" s="981" t="s">
        <v>118</v>
      </c>
      <c r="L4" s="993"/>
      <c r="M4" s="981" t="s">
        <v>119</v>
      </c>
      <c r="N4" s="993"/>
      <c r="O4" s="981" t="s">
        <v>170</v>
      </c>
      <c r="P4" s="993"/>
      <c r="Q4" s="981" t="s">
        <v>120</v>
      </c>
      <c r="R4" s="993"/>
      <c r="S4" s="981" t="s">
        <v>129</v>
      </c>
      <c r="T4" s="993"/>
      <c r="U4" s="975" t="s">
        <v>121</v>
      </c>
      <c r="V4" s="975" t="s">
        <v>122</v>
      </c>
    </row>
    <row r="5" spans="1:22" ht="15.75" thickBot="1" x14ac:dyDescent="0.3">
      <c r="A5" s="982"/>
      <c r="B5" s="984"/>
      <c r="C5" s="323" t="s">
        <v>28</v>
      </c>
      <c r="D5" s="324" t="s">
        <v>125</v>
      </c>
      <c r="E5" s="319" t="s">
        <v>123</v>
      </c>
      <c r="F5" s="320" t="s">
        <v>124</v>
      </c>
      <c r="G5" s="321" t="s">
        <v>28</v>
      </c>
      <c r="H5" s="322" t="s">
        <v>125</v>
      </c>
      <c r="I5" s="323" t="s">
        <v>28</v>
      </c>
      <c r="J5" s="324" t="s">
        <v>125</v>
      </c>
      <c r="K5" s="323" t="s">
        <v>28</v>
      </c>
      <c r="L5" s="324" t="s">
        <v>125</v>
      </c>
      <c r="M5" s="323" t="s">
        <v>28</v>
      </c>
      <c r="N5" s="324" t="s">
        <v>125</v>
      </c>
      <c r="O5" s="323" t="s">
        <v>28</v>
      </c>
      <c r="P5" s="324" t="s">
        <v>125</v>
      </c>
      <c r="Q5" s="323" t="s">
        <v>28</v>
      </c>
      <c r="R5" s="324" t="s">
        <v>125</v>
      </c>
      <c r="S5" s="323" t="s">
        <v>28</v>
      </c>
      <c r="T5" s="324" t="s">
        <v>125</v>
      </c>
      <c r="U5" s="976"/>
      <c r="V5" s="976"/>
    </row>
    <row r="6" spans="1:22" x14ac:dyDescent="0.25">
      <c r="A6" s="342">
        <v>12000</v>
      </c>
      <c r="B6" s="343" t="s">
        <v>5</v>
      </c>
      <c r="C6" s="765"/>
      <c r="D6" s="766">
        <f>D23</f>
        <v>7.3076977877510926E-2</v>
      </c>
      <c r="E6" s="765"/>
      <c r="F6" s="767"/>
      <c r="G6" s="768"/>
      <c r="H6" s="766">
        <f>0.5*H23+0.3*H40+0.2*H57</f>
        <v>4.2001170086972364E-2</v>
      </c>
      <c r="I6" s="765"/>
      <c r="J6" s="766">
        <f>J23</f>
        <v>7.6397796678729368E-2</v>
      </c>
      <c r="K6" s="765"/>
      <c r="L6" s="769">
        <f>L23</f>
        <v>0.10984669995945597</v>
      </c>
      <c r="M6" s="765"/>
      <c r="N6" s="766">
        <f>N23</f>
        <v>1.7326861581463501E-2</v>
      </c>
      <c r="O6" s="765"/>
      <c r="P6" s="769">
        <f>P23</f>
        <v>4.0639759708098175E-2</v>
      </c>
      <c r="Q6" s="765"/>
      <c r="R6" s="766">
        <f>0.5*R40+0.3*R57+0.2*R74</f>
        <v>8.6426454647555218E-2</v>
      </c>
      <c r="S6" s="765"/>
      <c r="T6" s="766">
        <f t="shared" ref="T6:T20" si="0">0.5*T40+0.3*T57+0.2*T74</f>
        <v>9.2741033753795457E-2</v>
      </c>
      <c r="U6" s="770">
        <f t="array" ref="U6">SUM($C$3:$T$3*C6:T6)</f>
        <v>7.7629614121168256E-2</v>
      </c>
      <c r="V6" s="771">
        <f>U6*$V$3</f>
        <v>3.0019726398680002E-2</v>
      </c>
    </row>
    <row r="7" spans="1:22" ht="15" customHeight="1" x14ac:dyDescent="0.25">
      <c r="A7" s="342">
        <v>13000</v>
      </c>
      <c r="B7" s="344" t="s">
        <v>6</v>
      </c>
      <c r="C7" s="772"/>
      <c r="D7" s="773">
        <f t="shared" ref="D7:D20" si="1">D24</f>
        <v>4.8265069502414555E-2</v>
      </c>
      <c r="E7" s="767"/>
      <c r="F7" s="767"/>
      <c r="G7" s="767"/>
      <c r="H7" s="773">
        <f t="shared" ref="H7:H20" si="2">0.5*H24+0.3*H41+0.2*H58</f>
        <v>2.7320836574469893E-2</v>
      </c>
      <c r="I7" s="772"/>
      <c r="J7" s="773">
        <f t="shared" ref="J7:J20" si="3">J24</f>
        <v>5.5366426358936648E-2</v>
      </c>
      <c r="K7" s="772"/>
      <c r="L7" s="774">
        <f t="shared" ref="L7:L20" si="4">L24</f>
        <v>2.7087590692886694E-2</v>
      </c>
      <c r="M7" s="772"/>
      <c r="N7" s="773">
        <f t="shared" ref="N7:N20" si="5">N24</f>
        <v>0.14663194908887775</v>
      </c>
      <c r="O7" s="772"/>
      <c r="P7" s="774">
        <f t="shared" ref="P7:P20" si="6">P24</f>
        <v>2.4375250512459535E-3</v>
      </c>
      <c r="Q7" s="772"/>
      <c r="R7" s="773">
        <f t="shared" ref="R7:R20" si="7">0.5*R41+0.3*R58+0.2*R75</f>
        <v>2.1440125106961402E-2</v>
      </c>
      <c r="S7" s="772"/>
      <c r="T7" s="773">
        <f t="shared" si="0"/>
        <v>3.0604992472645986E-2</v>
      </c>
      <c r="U7" s="775">
        <f t="array" ref="U7">SUM($C$3:$T$3*C7:T7)</f>
        <v>3.5851643544182257E-2</v>
      </c>
      <c r="V7" s="776">
        <f t="shared" ref="V7:V20" si="8">U7*$V$3</f>
        <v>1.3863994331589457E-2</v>
      </c>
    </row>
    <row r="8" spans="1:22" x14ac:dyDescent="0.25">
      <c r="A8" s="342">
        <v>16000</v>
      </c>
      <c r="B8" s="344" t="s">
        <v>296</v>
      </c>
      <c r="C8" s="772"/>
      <c r="D8" s="773">
        <f t="shared" si="1"/>
        <v>1.9518928267465843E-2</v>
      </c>
      <c r="E8" s="767"/>
      <c r="F8" s="767"/>
      <c r="G8" s="767"/>
      <c r="H8" s="774">
        <f t="shared" si="2"/>
        <v>9.7625890626231188E-3</v>
      </c>
      <c r="I8" s="772"/>
      <c r="J8" s="773">
        <f t="shared" si="3"/>
        <v>3.0844236119964563E-2</v>
      </c>
      <c r="K8" s="772"/>
      <c r="L8" s="774">
        <f t="shared" si="4"/>
        <v>2.2229116123158969E-2</v>
      </c>
      <c r="M8" s="772"/>
      <c r="N8" s="773">
        <f t="shared" si="5"/>
        <v>0</v>
      </c>
      <c r="O8" s="772"/>
      <c r="P8" s="774">
        <f t="shared" si="6"/>
        <v>7.0218197021023457E-2</v>
      </c>
      <c r="Q8" s="772"/>
      <c r="R8" s="773">
        <f t="shared" si="7"/>
        <v>1.3845326356299011E-2</v>
      </c>
      <c r="S8" s="772"/>
      <c r="T8" s="773">
        <f t="shared" si="0"/>
        <v>3.2190366745123676E-2</v>
      </c>
      <c r="U8" s="776">
        <f t="array" ref="U8">SUM($C$3:$T$3*C8:T8)</f>
        <v>2.1405387066248734E-2</v>
      </c>
      <c r="V8" s="776">
        <f t="shared" si="8"/>
        <v>8.2775609599662955E-3</v>
      </c>
    </row>
    <row r="9" spans="1:22" x14ac:dyDescent="0.25">
      <c r="A9" s="342">
        <v>17000</v>
      </c>
      <c r="B9" s="344" t="s">
        <v>9</v>
      </c>
      <c r="C9" s="772"/>
      <c r="D9" s="773">
        <f t="shared" si="1"/>
        <v>7.3719285870340281E-2</v>
      </c>
      <c r="E9" s="767"/>
      <c r="F9" s="767"/>
      <c r="G9" s="767"/>
      <c r="H9" s="774">
        <f t="shared" si="2"/>
        <v>6.5467385758289809E-2</v>
      </c>
      <c r="I9" s="772"/>
      <c r="J9" s="773">
        <f t="shared" si="3"/>
        <v>7.7938301435298563E-2</v>
      </c>
      <c r="K9" s="772"/>
      <c r="L9" s="774">
        <f t="shared" si="4"/>
        <v>6.0035575951187373E-2</v>
      </c>
      <c r="M9" s="772"/>
      <c r="N9" s="773">
        <f t="shared" si="5"/>
        <v>0.1639705157025127</v>
      </c>
      <c r="O9" s="772"/>
      <c r="P9" s="774">
        <f t="shared" si="6"/>
        <v>4.2080960504518802E-2</v>
      </c>
      <c r="Q9" s="772"/>
      <c r="R9" s="773">
        <f t="shared" si="7"/>
        <v>3.2806563198905125E-2</v>
      </c>
      <c r="S9" s="772"/>
      <c r="T9" s="773">
        <f t="shared" si="0"/>
        <v>8.4375659942882653E-2</v>
      </c>
      <c r="U9" s="775">
        <f t="array" ref="U9">SUM($C$3:$T$3*C9:T9)</f>
        <v>6.8227162367211505E-2</v>
      </c>
      <c r="V9" s="776">
        <f t="shared" si="8"/>
        <v>2.6383755354305025E-2</v>
      </c>
    </row>
    <row r="10" spans="1:22" x14ac:dyDescent="0.25">
      <c r="A10" s="342">
        <v>18000</v>
      </c>
      <c r="B10" s="344" t="s">
        <v>10</v>
      </c>
      <c r="C10" s="772"/>
      <c r="D10" s="773">
        <f t="shared" si="1"/>
        <v>4.7732156064956746E-2</v>
      </c>
      <c r="E10" s="767"/>
      <c r="F10" s="767"/>
      <c r="G10" s="767"/>
      <c r="H10" s="774">
        <f t="shared" si="2"/>
        <v>8.0475555555208855E-2</v>
      </c>
      <c r="I10" s="772"/>
      <c r="J10" s="773">
        <f t="shared" si="3"/>
        <v>4.7662110549369967E-2</v>
      </c>
      <c r="K10" s="772"/>
      <c r="L10" s="774">
        <f t="shared" si="4"/>
        <v>2.9118427691302816E-2</v>
      </c>
      <c r="M10" s="772"/>
      <c r="N10" s="773">
        <f t="shared" si="5"/>
        <v>5.5494363306047317E-2</v>
      </c>
      <c r="O10" s="772"/>
      <c r="P10" s="774">
        <f t="shared" si="6"/>
        <v>7.2153869318882947E-3</v>
      </c>
      <c r="Q10" s="772"/>
      <c r="R10" s="773">
        <f t="shared" si="7"/>
        <v>3.4333313176629909E-2</v>
      </c>
      <c r="S10" s="772"/>
      <c r="T10" s="773">
        <f t="shared" si="0"/>
        <v>4.6590189776580526E-2</v>
      </c>
      <c r="U10" s="775">
        <f t="array" ref="U10">SUM($C$3:$T$3*C10:T10)</f>
        <v>4.7174238770153802E-2</v>
      </c>
      <c r="V10" s="776">
        <f t="shared" si="8"/>
        <v>1.824249362795503E-2</v>
      </c>
    </row>
    <row r="11" spans="1:22" x14ac:dyDescent="0.25">
      <c r="A11" s="342">
        <v>19000</v>
      </c>
      <c r="B11" s="344" t="s">
        <v>11</v>
      </c>
      <c r="C11" s="772"/>
      <c r="D11" s="773">
        <f t="shared" si="1"/>
        <v>3.1022261154732417E-2</v>
      </c>
      <c r="E11" s="767"/>
      <c r="F11" s="767"/>
      <c r="G11" s="767"/>
      <c r="H11" s="774">
        <f t="shared" si="2"/>
        <v>1.1842714320190609E-2</v>
      </c>
      <c r="I11" s="772"/>
      <c r="J11" s="773">
        <f t="shared" si="3"/>
        <v>3.1995307073107923E-2</v>
      </c>
      <c r="K11" s="772"/>
      <c r="L11" s="774">
        <f t="shared" si="4"/>
        <v>2.5057285859507651E-2</v>
      </c>
      <c r="M11" s="772"/>
      <c r="N11" s="773">
        <f t="shared" si="5"/>
        <v>8.5497838343497057E-2</v>
      </c>
      <c r="O11" s="772"/>
      <c r="P11" s="774">
        <f t="shared" si="6"/>
        <v>4.8571852203639484E-3</v>
      </c>
      <c r="Q11" s="772"/>
      <c r="R11" s="773">
        <f t="shared" si="7"/>
        <v>6.7020109533532787E-3</v>
      </c>
      <c r="S11" s="772"/>
      <c r="T11" s="773">
        <f t="shared" si="0"/>
        <v>3.8916874296646753E-2</v>
      </c>
      <c r="U11" s="775">
        <f t="array" ref="U11">SUM($C$3:$T$3*C11:T11)</f>
        <v>2.5037707563465173E-2</v>
      </c>
      <c r="V11" s="776">
        <f t="shared" si="8"/>
        <v>9.6821958889581825E-3</v>
      </c>
    </row>
    <row r="12" spans="1:22" x14ac:dyDescent="0.25">
      <c r="A12" s="342">
        <v>22000</v>
      </c>
      <c r="B12" s="344" t="s">
        <v>13</v>
      </c>
      <c r="C12" s="772"/>
      <c r="D12" s="773">
        <f t="shared" si="1"/>
        <v>3.8532698437463403E-2</v>
      </c>
      <c r="E12" s="767"/>
      <c r="F12" s="767"/>
      <c r="G12" s="767"/>
      <c r="H12" s="774">
        <f t="shared" si="2"/>
        <v>5.1228737928309398E-2</v>
      </c>
      <c r="I12" s="772"/>
      <c r="J12" s="773">
        <f t="shared" si="3"/>
        <v>5.2748294323103344E-2</v>
      </c>
      <c r="K12" s="772"/>
      <c r="L12" s="774">
        <f t="shared" si="4"/>
        <v>0.14576116244298781</v>
      </c>
      <c r="M12" s="772"/>
      <c r="N12" s="773">
        <f t="shared" si="5"/>
        <v>1.7387910109763513E-3</v>
      </c>
      <c r="O12" s="772"/>
      <c r="P12" s="774">
        <f t="shared" si="6"/>
        <v>2.5705472169540357E-2</v>
      </c>
      <c r="Q12" s="772"/>
      <c r="R12" s="773">
        <f t="shared" si="7"/>
        <v>0.18731100550325197</v>
      </c>
      <c r="S12" s="772"/>
      <c r="T12" s="773">
        <f t="shared" si="0"/>
        <v>0.10273040323238333</v>
      </c>
      <c r="U12" s="775">
        <f t="array" ref="U12">SUM($C$3:$T$3*C12:T12)</f>
        <v>8.9453516212267173E-2</v>
      </c>
      <c r="V12" s="776">
        <f t="shared" si="8"/>
        <v>3.4592083349798491E-2</v>
      </c>
    </row>
    <row r="13" spans="1:22" x14ac:dyDescent="0.25">
      <c r="A13" s="342">
        <v>23000</v>
      </c>
      <c r="B13" s="344" t="s">
        <v>14</v>
      </c>
      <c r="C13" s="772"/>
      <c r="D13" s="773">
        <f t="shared" si="1"/>
        <v>8.902658736726074E-2</v>
      </c>
      <c r="E13" s="767"/>
      <c r="F13" s="767"/>
      <c r="G13" s="767"/>
      <c r="H13" s="774">
        <f t="shared" si="2"/>
        <v>7.2537875628015974E-2</v>
      </c>
      <c r="I13" s="772"/>
      <c r="J13" s="773">
        <f t="shared" si="3"/>
        <v>9.5209227449656597E-2</v>
      </c>
      <c r="K13" s="772"/>
      <c r="L13" s="774">
        <f t="shared" si="4"/>
        <v>9.5879476485376758E-2</v>
      </c>
      <c r="M13" s="772"/>
      <c r="N13" s="773">
        <f t="shared" si="5"/>
        <v>0.22129058836531673</v>
      </c>
      <c r="O13" s="772"/>
      <c r="P13" s="774">
        <f t="shared" si="6"/>
        <v>4.6730860721894921E-3</v>
      </c>
      <c r="Q13" s="772"/>
      <c r="R13" s="773">
        <f t="shared" si="7"/>
        <v>8.0119014708353642E-2</v>
      </c>
      <c r="S13" s="772"/>
      <c r="T13" s="773">
        <f t="shared" si="0"/>
        <v>6.5952104190374033E-2</v>
      </c>
      <c r="U13" s="775">
        <f t="array" ref="U13">SUM($C$3:$T$3*C13:T13)</f>
        <v>8.6202308472397821E-2</v>
      </c>
      <c r="V13" s="776">
        <f t="shared" si="8"/>
        <v>3.3334826465024996E-2</v>
      </c>
    </row>
    <row r="14" spans="1:22" x14ac:dyDescent="0.25">
      <c r="A14" s="342">
        <v>24000</v>
      </c>
      <c r="B14" s="344" t="s">
        <v>15</v>
      </c>
      <c r="C14" s="772"/>
      <c r="D14" s="773">
        <f t="shared" si="1"/>
        <v>4.1292388475963351E-2</v>
      </c>
      <c r="E14" s="767"/>
      <c r="F14" s="767"/>
      <c r="G14" s="767"/>
      <c r="H14" s="774">
        <f t="shared" si="2"/>
        <v>3.9507712522438385E-2</v>
      </c>
      <c r="I14" s="772"/>
      <c r="J14" s="773">
        <f t="shared" si="3"/>
        <v>4.1661823470654023E-2</v>
      </c>
      <c r="K14" s="772"/>
      <c r="L14" s="774">
        <f t="shared" si="4"/>
        <v>4.528619579002529E-2</v>
      </c>
      <c r="M14" s="772"/>
      <c r="N14" s="773">
        <f t="shared" si="5"/>
        <v>3.6447561752738659E-2</v>
      </c>
      <c r="O14" s="772"/>
      <c r="P14" s="774">
        <f t="shared" si="6"/>
        <v>1.9071510777344376E-2</v>
      </c>
      <c r="Q14" s="772"/>
      <c r="R14" s="773">
        <f t="shared" si="7"/>
        <v>5.1895002685556552E-2</v>
      </c>
      <c r="S14" s="772"/>
      <c r="T14" s="773">
        <f t="shared" si="0"/>
        <v>6.6101438144390623E-2</v>
      </c>
      <c r="U14" s="775">
        <f t="array" ref="U14">SUM($C$3:$T$3*C14:T14)</f>
        <v>4.4381844829193391E-2</v>
      </c>
      <c r="V14" s="776">
        <f t="shared" si="8"/>
        <v>1.7162662135116202E-2</v>
      </c>
    </row>
    <row r="15" spans="1:22" x14ac:dyDescent="0.25">
      <c r="A15" s="342">
        <v>25000</v>
      </c>
      <c r="B15" s="344" t="s">
        <v>16</v>
      </c>
      <c r="C15" s="772"/>
      <c r="D15" s="773">
        <f t="shared" si="1"/>
        <v>5.050832626162563E-2</v>
      </c>
      <c r="E15" s="767"/>
      <c r="F15" s="767"/>
      <c r="G15" s="767"/>
      <c r="H15" s="774">
        <f t="shared" si="2"/>
        <v>3.6108515117972154E-2</v>
      </c>
      <c r="I15" s="772"/>
      <c r="J15" s="773">
        <f t="shared" si="3"/>
        <v>5.8385186689643424E-2</v>
      </c>
      <c r="K15" s="772"/>
      <c r="L15" s="774">
        <f t="shared" si="4"/>
        <v>7.4975421733516762E-2</v>
      </c>
      <c r="M15" s="772"/>
      <c r="N15" s="773">
        <f t="shared" si="5"/>
        <v>1.2992840167531239E-2</v>
      </c>
      <c r="O15" s="772"/>
      <c r="P15" s="774">
        <f t="shared" si="6"/>
        <v>9.5583151796030923E-3</v>
      </c>
      <c r="Q15" s="772"/>
      <c r="R15" s="773">
        <f t="shared" si="7"/>
        <v>4.4652701794765617E-2</v>
      </c>
      <c r="S15" s="772"/>
      <c r="T15" s="773">
        <f t="shared" si="0"/>
        <v>4.9603086327339528E-2</v>
      </c>
      <c r="U15" s="775">
        <f t="array" ref="U15">SUM($C$3:$T$3*C15:T15)</f>
        <v>5.2438327939922855E-2</v>
      </c>
      <c r="V15" s="776">
        <f t="shared" si="8"/>
        <v>2.0278140956667311E-2</v>
      </c>
    </row>
    <row r="16" spans="1:22" x14ac:dyDescent="0.25">
      <c r="A16" s="342">
        <v>27000</v>
      </c>
      <c r="B16" s="344" t="s">
        <v>18</v>
      </c>
      <c r="C16" s="772"/>
      <c r="D16" s="773">
        <f t="shared" si="1"/>
        <v>8.2336121293982489E-2</v>
      </c>
      <c r="E16" s="767"/>
      <c r="F16" s="767"/>
      <c r="G16" s="767"/>
      <c r="H16" s="774">
        <f t="shared" si="2"/>
        <v>8.2171691679481407E-2</v>
      </c>
      <c r="I16" s="772"/>
      <c r="J16" s="773">
        <f t="shared" si="3"/>
        <v>8.4880296424362997E-2</v>
      </c>
      <c r="K16" s="772"/>
      <c r="L16" s="774">
        <f t="shared" si="4"/>
        <v>9.8088941162400772E-2</v>
      </c>
      <c r="M16" s="772"/>
      <c r="N16" s="773">
        <f t="shared" si="5"/>
        <v>1.5246652594051419E-2</v>
      </c>
      <c r="O16" s="772"/>
      <c r="P16" s="774">
        <f t="shared" si="6"/>
        <v>6.4930641085407012E-2</v>
      </c>
      <c r="Q16" s="772"/>
      <c r="R16" s="773">
        <f t="shared" si="7"/>
        <v>0.19364440326837828</v>
      </c>
      <c r="S16" s="772"/>
      <c r="T16" s="773">
        <f t="shared" si="0"/>
        <v>6.9181522341127732E-2</v>
      </c>
      <c r="U16" s="775">
        <f t="array" ref="U16">SUM($C$3:$T$3*C16:T16)</f>
        <v>9.0577912817107947E-2</v>
      </c>
      <c r="V16" s="776">
        <f t="shared" si="8"/>
        <v>3.5026892653220246E-2</v>
      </c>
    </row>
    <row r="17" spans="1:22" x14ac:dyDescent="0.25">
      <c r="A17" s="342">
        <v>28000</v>
      </c>
      <c r="B17" s="344" t="s">
        <v>19</v>
      </c>
      <c r="C17" s="772"/>
      <c r="D17" s="773">
        <f t="shared" si="1"/>
        <v>7.0012206517359094E-2</v>
      </c>
      <c r="E17" s="767"/>
      <c r="F17" s="767"/>
      <c r="G17" s="767"/>
      <c r="H17" s="774">
        <f t="shared" si="2"/>
        <v>5.0314054069978201E-2</v>
      </c>
      <c r="I17" s="772"/>
      <c r="J17" s="773">
        <f t="shared" si="3"/>
        <v>7.9565319021674172E-2</v>
      </c>
      <c r="K17" s="772"/>
      <c r="L17" s="774">
        <f t="shared" si="4"/>
        <v>4.7058085701869687E-2</v>
      </c>
      <c r="M17" s="772"/>
      <c r="N17" s="773">
        <f t="shared" si="5"/>
        <v>0.13841993601079439</v>
      </c>
      <c r="O17" s="772"/>
      <c r="P17" s="774">
        <f t="shared" si="6"/>
        <v>3.2720246780603028E-2</v>
      </c>
      <c r="Q17" s="772"/>
      <c r="R17" s="773">
        <f t="shared" si="7"/>
        <v>3.1018184040736193E-2</v>
      </c>
      <c r="S17" s="772"/>
      <c r="T17" s="773">
        <f t="shared" si="0"/>
        <v>7.7840562301107724E-2</v>
      </c>
      <c r="U17" s="775">
        <f t="array" ref="U17">SUM($C$3:$T$3*C17:T17)</f>
        <v>5.8742925396130963E-2</v>
      </c>
      <c r="V17" s="776">
        <f t="shared" si="8"/>
        <v>2.2716157592867142E-2</v>
      </c>
    </row>
    <row r="18" spans="1:22" x14ac:dyDescent="0.25">
      <c r="A18" s="342">
        <v>31000</v>
      </c>
      <c r="B18" s="344" t="s">
        <v>20</v>
      </c>
      <c r="C18" s="772"/>
      <c r="D18" s="773">
        <f t="shared" si="1"/>
        <v>0.10629510664435184</v>
      </c>
      <c r="E18" s="767"/>
      <c r="F18" s="767"/>
      <c r="G18" s="767"/>
      <c r="H18" s="774">
        <f t="shared" si="2"/>
        <v>0.19578503346520182</v>
      </c>
      <c r="I18" s="772"/>
      <c r="J18" s="773">
        <f t="shared" si="3"/>
        <v>6.5334466332620064E-2</v>
      </c>
      <c r="K18" s="772"/>
      <c r="L18" s="774">
        <f t="shared" si="4"/>
        <v>2.8488636310282443E-2</v>
      </c>
      <c r="M18" s="772"/>
      <c r="N18" s="773">
        <f t="shared" si="5"/>
        <v>1.9775567034592016E-3</v>
      </c>
      <c r="O18" s="772"/>
      <c r="P18" s="774">
        <f t="shared" si="6"/>
        <v>0.24912871092652711</v>
      </c>
      <c r="Q18" s="772"/>
      <c r="R18" s="773">
        <f t="shared" si="7"/>
        <v>3.2092027044838968E-2</v>
      </c>
      <c r="S18" s="772"/>
      <c r="T18" s="773">
        <f t="shared" si="0"/>
        <v>4.165423125596681E-2</v>
      </c>
      <c r="U18" s="775">
        <f t="array" ref="U18">SUM($C$3:$T$3*C18:T18)</f>
        <v>8.9127247352387362E-2</v>
      </c>
      <c r="V18" s="776">
        <f t="shared" si="8"/>
        <v>3.4465913691261819E-2</v>
      </c>
    </row>
    <row r="19" spans="1:22" x14ac:dyDescent="0.25">
      <c r="A19" s="342">
        <v>41000</v>
      </c>
      <c r="B19" s="344" t="s">
        <v>21</v>
      </c>
      <c r="C19" s="772"/>
      <c r="D19" s="773">
        <f t="shared" si="1"/>
        <v>0.15285858079617748</v>
      </c>
      <c r="E19" s="767"/>
      <c r="F19" s="767"/>
      <c r="G19" s="767"/>
      <c r="H19" s="774">
        <f t="shared" si="2"/>
        <v>0.15215014386338482</v>
      </c>
      <c r="I19" s="772"/>
      <c r="J19" s="773">
        <f t="shared" si="3"/>
        <v>0.12955244681386821</v>
      </c>
      <c r="K19" s="772"/>
      <c r="L19" s="774">
        <f t="shared" si="4"/>
        <v>0.11149229329004642</v>
      </c>
      <c r="M19" s="772"/>
      <c r="N19" s="773">
        <f t="shared" si="5"/>
        <v>1.0696703023231688E-2</v>
      </c>
      <c r="O19" s="772"/>
      <c r="P19" s="774">
        <f t="shared" si="6"/>
        <v>0.36080243041658677</v>
      </c>
      <c r="Q19" s="772"/>
      <c r="R19" s="773">
        <f t="shared" si="7"/>
        <v>0.1073321471697159</v>
      </c>
      <c r="S19" s="772"/>
      <c r="T19" s="773">
        <f t="shared" si="0"/>
        <v>0.13394046605980375</v>
      </c>
      <c r="U19" s="775">
        <f t="array" ref="U19">SUM($C$3:$T$3*C19:T19)</f>
        <v>0.13612437376506142</v>
      </c>
      <c r="V19" s="776">
        <f t="shared" si="8"/>
        <v>5.2639917161516621E-2</v>
      </c>
    </row>
    <row r="20" spans="1:22" ht="15" customHeight="1" thickBot="1" x14ac:dyDescent="0.3">
      <c r="A20" s="345">
        <v>43000</v>
      </c>
      <c r="B20" s="346" t="s">
        <v>22</v>
      </c>
      <c r="C20" s="772"/>
      <c r="D20" s="773">
        <f t="shared" si="1"/>
        <v>7.5803305468395366E-2</v>
      </c>
      <c r="E20" s="777"/>
      <c r="F20" s="767"/>
      <c r="G20" s="778"/>
      <c r="H20" s="779">
        <f t="shared" si="2"/>
        <v>8.3325984367463177E-2</v>
      </c>
      <c r="I20" s="772"/>
      <c r="J20" s="773">
        <f t="shared" si="3"/>
        <v>7.2458761259010213E-2</v>
      </c>
      <c r="K20" s="772"/>
      <c r="L20" s="774">
        <f t="shared" si="4"/>
        <v>7.9595090805994667E-2</v>
      </c>
      <c r="M20" s="772"/>
      <c r="N20" s="773">
        <f t="shared" si="5"/>
        <v>9.2267842349501902E-2</v>
      </c>
      <c r="O20" s="772"/>
      <c r="P20" s="774">
        <f t="shared" si="6"/>
        <v>6.5960572155060196E-2</v>
      </c>
      <c r="Q20" s="772"/>
      <c r="R20" s="773">
        <f t="shared" si="7"/>
        <v>7.6381720344698895E-2</v>
      </c>
      <c r="S20" s="772"/>
      <c r="T20" s="773">
        <f t="shared" si="0"/>
        <v>6.7577069159831402E-2</v>
      </c>
      <c r="U20" s="775">
        <f t="array" ref="U20">SUM($C$3:$T$3*C20:T20)</f>
        <v>7.7625789783101348E-2</v>
      </c>
      <c r="V20" s="776">
        <f t="shared" si="8"/>
        <v>3.0018247509679657E-2</v>
      </c>
    </row>
    <row r="21" spans="1:22" ht="15.75" thickBot="1" x14ac:dyDescent="0.3">
      <c r="A21" s="991" t="s">
        <v>126</v>
      </c>
      <c r="B21" s="992"/>
      <c r="C21" s="780"/>
      <c r="D21" s="781">
        <f>SUM(D6:D20)</f>
        <v>1.0000000000000002</v>
      </c>
      <c r="E21" s="782"/>
      <c r="F21" s="782"/>
      <c r="G21" s="782"/>
      <c r="H21" s="783">
        <f>SUM(H6:H20)</f>
        <v>1</v>
      </c>
      <c r="I21" s="780"/>
      <c r="J21" s="781">
        <f>SUM(J6:J20)</f>
        <v>1.0000000000000002</v>
      </c>
      <c r="K21" s="780"/>
      <c r="L21" s="783">
        <f>SUM(L6:L20)</f>
        <v>1</v>
      </c>
      <c r="M21" s="780"/>
      <c r="N21" s="781">
        <f>SUM(N6:N20)</f>
        <v>0.99999999999999989</v>
      </c>
      <c r="O21" s="780"/>
      <c r="P21" s="783">
        <f>SUM(P6:P20)</f>
        <v>1</v>
      </c>
      <c r="Q21" s="780"/>
      <c r="R21" s="781">
        <f>SUM(R6:R20)</f>
        <v>0.99999999999999989</v>
      </c>
      <c r="S21" s="780"/>
      <c r="T21" s="781">
        <f>SUM(T6:T20)</f>
        <v>1</v>
      </c>
      <c r="U21" s="784">
        <f>SUM(U6:U20)</f>
        <v>1.0000000000000002</v>
      </c>
      <c r="V21" s="785">
        <f>SUM(V6:V20)</f>
        <v>0.38670456807660647</v>
      </c>
    </row>
    <row r="22" spans="1:22" ht="15.75" thickBot="1" x14ac:dyDescent="0.3"/>
    <row r="23" spans="1:22" x14ac:dyDescent="0.25">
      <c r="A23" s="347">
        <v>12000</v>
      </c>
      <c r="B23" s="343" t="s">
        <v>5</v>
      </c>
      <c r="C23" s="786">
        <v>4939.1442882444107</v>
      </c>
      <c r="D23" s="766">
        <f>C23/$C$38</f>
        <v>7.3076977877510926E-2</v>
      </c>
      <c r="E23" s="786">
        <v>22027</v>
      </c>
      <c r="F23" s="787">
        <v>29896</v>
      </c>
      <c r="G23" s="787">
        <f>E23+F23</f>
        <v>51923</v>
      </c>
      <c r="H23" s="766">
        <f>G23/$G$38</f>
        <v>4.5930291187590337E-2</v>
      </c>
      <c r="I23" s="786">
        <v>2279.7419437510971</v>
      </c>
      <c r="J23" s="766">
        <f>I23/$I$38</f>
        <v>7.6397796678729368E-2</v>
      </c>
      <c r="K23" s="786"/>
      <c r="L23" s="769">
        <v>0.10984669995945597</v>
      </c>
      <c r="M23" s="786">
        <v>4085.6049999999996</v>
      </c>
      <c r="N23" s="766">
        <f>M23/$M$38</f>
        <v>1.7326861581463501E-2</v>
      </c>
      <c r="O23" s="786"/>
      <c r="P23" s="766">
        <v>4.0639759708098175E-2</v>
      </c>
      <c r="R23" s="467"/>
      <c r="T23" s="670"/>
    </row>
    <row r="24" spans="1:22" ht="15" customHeight="1" x14ac:dyDescent="0.25">
      <c r="A24" s="348">
        <v>13000</v>
      </c>
      <c r="B24" s="344" t="s">
        <v>6</v>
      </c>
      <c r="C24" s="788">
        <v>3262.1510806611104</v>
      </c>
      <c r="D24" s="773">
        <f t="shared" ref="D24:D37" si="9">C24/$C$38</f>
        <v>4.8265069502414555E-2</v>
      </c>
      <c r="E24" s="788">
        <v>13529</v>
      </c>
      <c r="F24" s="789">
        <v>15476</v>
      </c>
      <c r="G24" s="789">
        <f t="shared" ref="G24:G37" si="10">E24+F24</f>
        <v>29005</v>
      </c>
      <c r="H24" s="773">
        <f t="shared" ref="H24:H37" si="11">G24/$G$38</f>
        <v>2.5657379117078324E-2</v>
      </c>
      <c r="I24" s="788">
        <v>1652.1571293065399</v>
      </c>
      <c r="J24" s="773">
        <f t="shared" ref="J24:J37" si="12">I24/$I$38</f>
        <v>5.5366426358936648E-2</v>
      </c>
      <c r="K24" s="788"/>
      <c r="L24" s="774">
        <v>2.7087590692886694E-2</v>
      </c>
      <c r="M24" s="788">
        <v>34575.230000000003</v>
      </c>
      <c r="N24" s="773">
        <f t="shared" ref="N24:N37" si="13">M24/$M$38</f>
        <v>0.14663194908887775</v>
      </c>
      <c r="O24" s="788"/>
      <c r="P24" s="773">
        <v>2.4375250512459535E-3</v>
      </c>
      <c r="R24" s="467"/>
    </row>
    <row r="25" spans="1:22" x14ac:dyDescent="0.25">
      <c r="A25" s="348">
        <v>16000</v>
      </c>
      <c r="B25" s="344" t="s">
        <v>296</v>
      </c>
      <c r="C25" s="788">
        <v>1319.25</v>
      </c>
      <c r="D25" s="773">
        <f t="shared" si="9"/>
        <v>1.9518928267465843E-2</v>
      </c>
      <c r="E25" s="788">
        <v>458</v>
      </c>
      <c r="F25" s="789">
        <v>9827</v>
      </c>
      <c r="G25" s="789">
        <f t="shared" si="10"/>
        <v>10285</v>
      </c>
      <c r="H25" s="773">
        <f t="shared" si="11"/>
        <v>9.0979536017635077E-3</v>
      </c>
      <c r="I25" s="788">
        <v>920.40480043351045</v>
      </c>
      <c r="J25" s="773">
        <f t="shared" si="12"/>
        <v>3.0844236119964563E-2</v>
      </c>
      <c r="K25" s="788"/>
      <c r="L25" s="774">
        <v>2.2229116123158969E-2</v>
      </c>
      <c r="M25" s="788">
        <v>0</v>
      </c>
      <c r="N25" s="773">
        <f t="shared" si="13"/>
        <v>0</v>
      </c>
      <c r="O25" s="788"/>
      <c r="P25" s="773">
        <v>7.0218197021023457E-2</v>
      </c>
      <c r="R25" s="467"/>
    </row>
    <row r="26" spans="1:22" x14ac:dyDescent="0.25">
      <c r="A26" s="348">
        <v>17000</v>
      </c>
      <c r="B26" s="344" t="s">
        <v>9</v>
      </c>
      <c r="C26" s="788">
        <v>4982.5567547450692</v>
      </c>
      <c r="D26" s="773">
        <f t="shared" si="9"/>
        <v>7.3719285870340281E-2</v>
      </c>
      <c r="E26" s="788">
        <v>24107</v>
      </c>
      <c r="F26" s="789">
        <v>50199</v>
      </c>
      <c r="G26" s="789">
        <f t="shared" si="10"/>
        <v>74306</v>
      </c>
      <c r="H26" s="773">
        <f t="shared" si="11"/>
        <v>6.5729950445565316E-2</v>
      </c>
      <c r="I26" s="788">
        <v>2325.7112447097029</v>
      </c>
      <c r="J26" s="773">
        <f t="shared" si="12"/>
        <v>7.7938301435298563E-2</v>
      </c>
      <c r="K26" s="788"/>
      <c r="L26" s="774">
        <v>6.0035575951187373E-2</v>
      </c>
      <c r="M26" s="788">
        <v>38663.595000000001</v>
      </c>
      <c r="N26" s="773">
        <f t="shared" si="13"/>
        <v>0.1639705157025127</v>
      </c>
      <c r="O26" s="788"/>
      <c r="P26" s="773">
        <v>4.2080960504518802E-2</v>
      </c>
      <c r="R26" s="467"/>
    </row>
    <row r="27" spans="1:22" x14ac:dyDescent="0.25">
      <c r="A27" s="348">
        <v>18000</v>
      </c>
      <c r="B27" s="344" t="s">
        <v>10</v>
      </c>
      <c r="C27" s="788">
        <v>3226.1323995771672</v>
      </c>
      <c r="D27" s="773">
        <f t="shared" si="9"/>
        <v>4.7732156064956746E-2</v>
      </c>
      <c r="E27" s="788">
        <v>28206</v>
      </c>
      <c r="F27" s="789">
        <v>56632</v>
      </c>
      <c r="G27" s="789">
        <f t="shared" si="10"/>
        <v>84838</v>
      </c>
      <c r="H27" s="773">
        <f t="shared" si="11"/>
        <v>7.5046396467322557E-2</v>
      </c>
      <c r="I27" s="788">
        <v>1422.2571496928088</v>
      </c>
      <c r="J27" s="773">
        <f t="shared" si="12"/>
        <v>4.7662110549369967E-2</v>
      </c>
      <c r="K27" s="788"/>
      <c r="L27" s="774">
        <v>2.9118427691302816E-2</v>
      </c>
      <c r="M27" s="788">
        <v>13085.35</v>
      </c>
      <c r="N27" s="773">
        <f t="shared" si="13"/>
        <v>5.5494363306047317E-2</v>
      </c>
      <c r="O27" s="788"/>
      <c r="P27" s="773">
        <v>7.2153869318882947E-3</v>
      </c>
      <c r="R27" s="467"/>
    </row>
    <row r="28" spans="1:22" x14ac:dyDescent="0.25">
      <c r="A28" s="348">
        <v>19000</v>
      </c>
      <c r="B28" s="344" t="s">
        <v>11</v>
      </c>
      <c r="C28" s="788">
        <v>2096.7400191021966</v>
      </c>
      <c r="D28" s="773">
        <f t="shared" si="9"/>
        <v>3.1022261154732417E-2</v>
      </c>
      <c r="E28" s="788">
        <v>12193</v>
      </c>
      <c r="F28" s="789">
        <v>3827</v>
      </c>
      <c r="G28" s="789">
        <f t="shared" si="10"/>
        <v>16020</v>
      </c>
      <c r="H28" s="773">
        <f t="shared" si="11"/>
        <v>1.4171046835221333E-2</v>
      </c>
      <c r="I28" s="788">
        <v>954.75323515538616</v>
      </c>
      <c r="J28" s="773">
        <f t="shared" si="12"/>
        <v>3.1995307073107923E-2</v>
      </c>
      <c r="K28" s="788"/>
      <c r="L28" s="774">
        <v>2.5057285859507651E-2</v>
      </c>
      <c r="M28" s="788">
        <v>20160.05</v>
      </c>
      <c r="N28" s="773">
        <f t="shared" si="13"/>
        <v>8.5497838343497057E-2</v>
      </c>
      <c r="O28" s="788"/>
      <c r="P28" s="773">
        <v>4.8571852203639484E-3</v>
      </c>
      <c r="R28" s="467"/>
    </row>
    <row r="29" spans="1:22" x14ac:dyDescent="0.25">
      <c r="A29" s="348">
        <v>22000</v>
      </c>
      <c r="B29" s="344" t="s">
        <v>13</v>
      </c>
      <c r="C29" s="788">
        <v>2604.3572534847704</v>
      </c>
      <c r="D29" s="773">
        <f t="shared" si="9"/>
        <v>3.8532698437463403E-2</v>
      </c>
      <c r="E29" s="788">
        <v>18212</v>
      </c>
      <c r="F29" s="789">
        <v>45581</v>
      </c>
      <c r="G29" s="789">
        <f t="shared" si="10"/>
        <v>63793</v>
      </c>
      <c r="H29" s="773">
        <f t="shared" si="11"/>
        <v>5.6430311533038353E-2</v>
      </c>
      <c r="I29" s="788">
        <v>1574.0309833200624</v>
      </c>
      <c r="J29" s="773">
        <f t="shared" si="12"/>
        <v>5.2748294323103344E-2</v>
      </c>
      <c r="K29" s="788"/>
      <c r="L29" s="774">
        <v>0.14576116244298781</v>
      </c>
      <c r="M29" s="788">
        <v>410</v>
      </c>
      <c r="N29" s="773">
        <f t="shared" si="13"/>
        <v>1.7387910109763513E-3</v>
      </c>
      <c r="O29" s="788"/>
      <c r="P29" s="773">
        <v>2.5705472169540357E-2</v>
      </c>
      <c r="R29" s="467"/>
    </row>
    <row r="30" spans="1:22" x14ac:dyDescent="0.25">
      <c r="A30" s="348">
        <v>23000</v>
      </c>
      <c r="B30" s="344" t="s">
        <v>14</v>
      </c>
      <c r="C30" s="788">
        <v>6017.1503155745304</v>
      </c>
      <c r="D30" s="773">
        <f t="shared" si="9"/>
        <v>8.902658736726074E-2</v>
      </c>
      <c r="E30" s="788">
        <v>36726</v>
      </c>
      <c r="F30" s="789">
        <v>46216</v>
      </c>
      <c r="G30" s="789">
        <f t="shared" si="10"/>
        <v>82942</v>
      </c>
      <c r="H30" s="773">
        <f t="shared" si="11"/>
        <v>7.3369223883079135E-2</v>
      </c>
      <c r="I30" s="788">
        <v>2841.0828411960219</v>
      </c>
      <c r="J30" s="773">
        <f t="shared" si="12"/>
        <v>9.5209227449656597E-2</v>
      </c>
      <c r="K30" s="788"/>
      <c r="L30" s="774">
        <v>9.5879476485376758E-2</v>
      </c>
      <c r="M30" s="788">
        <v>52179.439999999995</v>
      </c>
      <c r="N30" s="773">
        <f t="shared" si="13"/>
        <v>0.22129058836531673</v>
      </c>
      <c r="O30" s="788"/>
      <c r="P30" s="773">
        <v>4.6730860721894921E-3</v>
      </c>
      <c r="R30" s="467"/>
    </row>
    <row r="31" spans="1:22" x14ac:dyDescent="0.25">
      <c r="A31" s="348">
        <v>24000</v>
      </c>
      <c r="B31" s="344" t="s">
        <v>15</v>
      </c>
      <c r="C31" s="788">
        <v>2790.8798449612405</v>
      </c>
      <c r="D31" s="773">
        <f t="shared" si="9"/>
        <v>4.1292388475963351E-2</v>
      </c>
      <c r="E31" s="788">
        <v>16578</v>
      </c>
      <c r="F31" s="789">
        <v>26767</v>
      </c>
      <c r="G31" s="789">
        <f t="shared" si="10"/>
        <v>43345</v>
      </c>
      <c r="H31" s="773">
        <f t="shared" si="11"/>
        <v>3.8342323662463706E-2</v>
      </c>
      <c r="I31" s="788">
        <v>1243.2060942622402</v>
      </c>
      <c r="J31" s="773">
        <f t="shared" si="12"/>
        <v>4.1661823470654023E-2</v>
      </c>
      <c r="K31" s="788"/>
      <c r="L31" s="774">
        <v>4.528619579002529E-2</v>
      </c>
      <c r="M31" s="788">
        <v>8594.19</v>
      </c>
      <c r="N31" s="773">
        <f t="shared" si="13"/>
        <v>3.6447561752738659E-2</v>
      </c>
      <c r="O31" s="788"/>
      <c r="P31" s="773">
        <v>1.9071510777344376E-2</v>
      </c>
      <c r="R31" s="467"/>
    </row>
    <row r="32" spans="1:22" x14ac:dyDescent="0.25">
      <c r="A32" s="348">
        <v>25000</v>
      </c>
      <c r="B32" s="344" t="s">
        <v>16</v>
      </c>
      <c r="C32" s="788">
        <v>3413.7688559322032</v>
      </c>
      <c r="D32" s="773">
        <f t="shared" si="9"/>
        <v>5.050832626162563E-2</v>
      </c>
      <c r="E32" s="788">
        <v>13518</v>
      </c>
      <c r="F32" s="789">
        <v>25940</v>
      </c>
      <c r="G32" s="789">
        <f t="shared" si="10"/>
        <v>39458</v>
      </c>
      <c r="H32" s="773">
        <f t="shared" si="11"/>
        <v>3.4903942947825423E-2</v>
      </c>
      <c r="I32" s="788">
        <v>1742.2381897981738</v>
      </c>
      <c r="J32" s="773">
        <f t="shared" si="12"/>
        <v>5.8385186689643424E-2</v>
      </c>
      <c r="K32" s="788"/>
      <c r="L32" s="774">
        <v>7.4975421733516762E-2</v>
      </c>
      <c r="M32" s="788">
        <v>3063.66</v>
      </c>
      <c r="N32" s="773">
        <f t="shared" si="13"/>
        <v>1.2992840167531239E-2</v>
      </c>
      <c r="O32" s="788"/>
      <c r="P32" s="773">
        <v>9.5583151796030923E-3</v>
      </c>
      <c r="R32" s="467"/>
    </row>
    <row r="33" spans="1:20" x14ac:dyDescent="0.25">
      <c r="A33" s="348">
        <v>27000</v>
      </c>
      <c r="B33" s="344" t="s">
        <v>18</v>
      </c>
      <c r="C33" s="788">
        <v>5564.9534917415249</v>
      </c>
      <c r="D33" s="773">
        <f t="shared" si="9"/>
        <v>8.2336121293982489E-2</v>
      </c>
      <c r="E33" s="788">
        <v>18360</v>
      </c>
      <c r="F33" s="789">
        <v>76451</v>
      </c>
      <c r="G33" s="789">
        <f t="shared" si="10"/>
        <v>94811</v>
      </c>
      <c r="H33" s="773">
        <f t="shared" si="11"/>
        <v>8.3868359643830812E-2</v>
      </c>
      <c r="I33" s="788">
        <v>2532.863254818476</v>
      </c>
      <c r="J33" s="773">
        <f t="shared" si="12"/>
        <v>8.4880296424362997E-2</v>
      </c>
      <c r="K33" s="788"/>
      <c r="L33" s="774">
        <v>9.8088941162400772E-2</v>
      </c>
      <c r="M33" s="788">
        <v>3595.1000000000004</v>
      </c>
      <c r="N33" s="773">
        <f t="shared" si="13"/>
        <v>1.5246652594051419E-2</v>
      </c>
      <c r="O33" s="788"/>
      <c r="P33" s="773">
        <v>6.4930641085407012E-2</v>
      </c>
      <c r="R33" s="467"/>
    </row>
    <row r="34" spans="1:20" x14ac:dyDescent="0.25">
      <c r="A34" s="348">
        <v>28000</v>
      </c>
      <c r="B34" s="344" t="s">
        <v>19</v>
      </c>
      <c r="C34" s="788">
        <v>4732.0017873100987</v>
      </c>
      <c r="D34" s="773">
        <f t="shared" si="9"/>
        <v>7.0012206517359094E-2</v>
      </c>
      <c r="E34" s="788">
        <v>22405</v>
      </c>
      <c r="F34" s="789">
        <v>30577</v>
      </c>
      <c r="G34" s="789">
        <f t="shared" si="10"/>
        <v>52982</v>
      </c>
      <c r="H34" s="773">
        <f t="shared" si="11"/>
        <v>4.6867066381004782E-2</v>
      </c>
      <c r="I34" s="788">
        <v>2374.2621243964445</v>
      </c>
      <c r="J34" s="773">
        <f t="shared" si="12"/>
        <v>7.9565319021674172E-2</v>
      </c>
      <c r="K34" s="788"/>
      <c r="L34" s="774">
        <v>4.7058085701869687E-2</v>
      </c>
      <c r="M34" s="788">
        <v>32638.87</v>
      </c>
      <c r="N34" s="773">
        <f t="shared" si="13"/>
        <v>0.13841993601079439</v>
      </c>
      <c r="O34" s="788"/>
      <c r="P34" s="773">
        <v>3.2720246780603028E-2</v>
      </c>
      <c r="R34" s="467"/>
    </row>
    <row r="35" spans="1:20" x14ac:dyDescent="0.25">
      <c r="A35" s="348">
        <v>31000</v>
      </c>
      <c r="B35" s="344" t="s">
        <v>20</v>
      </c>
      <c r="C35" s="788">
        <v>7184.2991335900479</v>
      </c>
      <c r="D35" s="773">
        <f t="shared" si="9"/>
        <v>0.10629510664435184</v>
      </c>
      <c r="E35" s="788">
        <v>122377</v>
      </c>
      <c r="F35" s="789">
        <v>108638</v>
      </c>
      <c r="G35" s="789">
        <f t="shared" si="10"/>
        <v>231015</v>
      </c>
      <c r="H35" s="773">
        <f t="shared" si="11"/>
        <v>0.20435233362288738</v>
      </c>
      <c r="I35" s="788">
        <v>1949.6075770014618</v>
      </c>
      <c r="J35" s="773">
        <f t="shared" si="12"/>
        <v>6.5334466332620064E-2</v>
      </c>
      <c r="K35" s="788"/>
      <c r="L35" s="774">
        <v>2.8488636310282443E-2</v>
      </c>
      <c r="M35" s="788">
        <v>466.3</v>
      </c>
      <c r="N35" s="773">
        <f t="shared" si="13"/>
        <v>1.9775567034592016E-3</v>
      </c>
      <c r="O35" s="788"/>
      <c r="P35" s="773">
        <v>0.24912871092652711</v>
      </c>
      <c r="R35" s="467"/>
    </row>
    <row r="36" spans="1:20" x14ac:dyDescent="0.25">
      <c r="A36" s="348">
        <v>41000</v>
      </c>
      <c r="B36" s="344" t="s">
        <v>21</v>
      </c>
      <c r="C36" s="788">
        <v>10331.442380034865</v>
      </c>
      <c r="D36" s="773">
        <f t="shared" si="9"/>
        <v>0.15285858079617748</v>
      </c>
      <c r="E36" s="788">
        <v>55378</v>
      </c>
      <c r="F36" s="789">
        <v>112150</v>
      </c>
      <c r="G36" s="789">
        <f t="shared" si="10"/>
        <v>167528</v>
      </c>
      <c r="H36" s="773">
        <f t="shared" si="11"/>
        <v>0.1481927050069263</v>
      </c>
      <c r="I36" s="788">
        <v>3865.8987530642839</v>
      </c>
      <c r="J36" s="773">
        <f t="shared" si="12"/>
        <v>0.12955244681386821</v>
      </c>
      <c r="K36" s="788"/>
      <c r="L36" s="774">
        <v>0.11149229329004642</v>
      </c>
      <c r="M36" s="788">
        <v>2522.2399999999998</v>
      </c>
      <c r="N36" s="773">
        <f t="shared" si="13"/>
        <v>1.0696703023231688E-2</v>
      </c>
      <c r="O36" s="788"/>
      <c r="P36" s="773">
        <v>0.36080243041658677</v>
      </c>
      <c r="R36" s="467"/>
    </row>
    <row r="37" spans="1:20" ht="15.75" thickBot="1" x14ac:dyDescent="0.3">
      <c r="A37" s="349">
        <v>43000</v>
      </c>
      <c r="B37" s="346" t="s">
        <v>22</v>
      </c>
      <c r="C37" s="788">
        <v>5123.4119706186157</v>
      </c>
      <c r="D37" s="773">
        <f t="shared" si="9"/>
        <v>7.5803305468395366E-2</v>
      </c>
      <c r="E37" s="790">
        <v>27288</v>
      </c>
      <c r="F37" s="789">
        <v>60935</v>
      </c>
      <c r="G37" s="791">
        <f t="shared" si="10"/>
        <v>88223</v>
      </c>
      <c r="H37" s="779">
        <f t="shared" si="11"/>
        <v>7.8040715664402724E-2</v>
      </c>
      <c r="I37" s="788">
        <v>2162.1994928605577</v>
      </c>
      <c r="J37" s="773">
        <f t="shared" si="12"/>
        <v>7.2458761259010213E-2</v>
      </c>
      <c r="K37" s="788"/>
      <c r="L37" s="774">
        <v>7.9595090805994667E-2</v>
      </c>
      <c r="M37" s="788">
        <v>21756.39</v>
      </c>
      <c r="N37" s="773">
        <f t="shared" si="13"/>
        <v>9.2267842349501902E-2</v>
      </c>
      <c r="O37" s="788"/>
      <c r="P37" s="773">
        <v>6.5960572155060196E-2</v>
      </c>
      <c r="R37" s="467"/>
    </row>
    <row r="38" spans="1:20" ht="15.75" thickBot="1" x14ac:dyDescent="0.3">
      <c r="A38" s="570">
        <v>2022</v>
      </c>
      <c r="B38" s="350" t="s">
        <v>126</v>
      </c>
      <c r="C38" s="792">
        <f t="shared" ref="C38:J38" si="14">SUM(C23:C37)</f>
        <v>67588.239575577842</v>
      </c>
      <c r="D38" s="781">
        <f t="shared" si="14"/>
        <v>1.0000000000000002</v>
      </c>
      <c r="E38" s="792">
        <f t="shared" si="14"/>
        <v>431362</v>
      </c>
      <c r="F38" s="793">
        <f t="shared" si="14"/>
        <v>699112</v>
      </c>
      <c r="G38" s="793">
        <f t="shared" si="14"/>
        <v>1130474</v>
      </c>
      <c r="H38" s="781">
        <f t="shared" si="14"/>
        <v>1</v>
      </c>
      <c r="I38" s="792">
        <f t="shared" si="14"/>
        <v>29840.414813766765</v>
      </c>
      <c r="J38" s="781">
        <f t="shared" si="14"/>
        <v>1.0000000000000002</v>
      </c>
      <c r="K38" s="792"/>
      <c r="L38" s="783">
        <f>SUM(L23:L37)</f>
        <v>1</v>
      </c>
      <c r="M38" s="792">
        <f>SUM(M23:M37)</f>
        <v>235796.02000000002</v>
      </c>
      <c r="N38" s="781">
        <f>SUM(N23:N37)</f>
        <v>0.99999999999999989</v>
      </c>
      <c r="O38" s="792">
        <f>SUM(O23:O37)</f>
        <v>0</v>
      </c>
      <c r="P38" s="781">
        <f>SUM(P23:P37)</f>
        <v>1</v>
      </c>
    </row>
    <row r="39" spans="1:20" ht="15.75" thickBot="1" x14ac:dyDescent="0.3">
      <c r="A39" s="359"/>
      <c r="B39" s="359"/>
      <c r="C39" s="662"/>
      <c r="D39" s="743"/>
      <c r="E39" s="662"/>
      <c r="F39" s="662"/>
      <c r="G39" s="662"/>
      <c r="H39" s="743"/>
      <c r="I39" s="662"/>
      <c r="J39" s="743"/>
      <c r="K39" s="662"/>
      <c r="L39" s="743"/>
      <c r="M39" s="662"/>
      <c r="N39" s="743"/>
      <c r="O39" s="662"/>
      <c r="P39" s="743"/>
    </row>
    <row r="40" spans="1:20" ht="15" customHeight="1" x14ac:dyDescent="0.25">
      <c r="A40" s="347">
        <v>12000</v>
      </c>
      <c r="B40" s="343" t="s">
        <v>5</v>
      </c>
      <c r="E40" s="786">
        <v>12944</v>
      </c>
      <c r="F40" s="787">
        <v>10790</v>
      </c>
      <c r="G40" s="787">
        <f>E40+F40</f>
        <v>23734</v>
      </c>
      <c r="H40" s="766">
        <f>G40/$G$55</f>
        <v>3.4408670741466696E-2</v>
      </c>
      <c r="M40" s="11"/>
      <c r="N40" s="884"/>
      <c r="Q40" s="786">
        <v>309624</v>
      </c>
      <c r="R40" s="766">
        <f>Q40/$Q$55</f>
        <v>8.8494507183010496E-2</v>
      </c>
      <c r="S40" s="786">
        <v>90.351833333333332</v>
      </c>
      <c r="T40" s="766">
        <f>S40/$S$55</f>
        <v>9.0439738605931186E-2</v>
      </c>
    </row>
    <row r="41" spans="1:20" ht="15" customHeight="1" x14ac:dyDescent="0.25">
      <c r="A41" s="348">
        <v>13000</v>
      </c>
      <c r="B41" s="344" t="s">
        <v>6</v>
      </c>
      <c r="E41" s="788">
        <v>9204</v>
      </c>
      <c r="F41" s="789">
        <v>10624</v>
      </c>
      <c r="G41" s="789">
        <f t="shared" ref="G41:G54" si="15">E41+F41</f>
        <v>19828</v>
      </c>
      <c r="H41" s="773">
        <f t="shared" ref="H41:H54" si="16">G41/$G$55</f>
        <v>2.8745897171222789E-2</v>
      </c>
      <c r="N41" s="884"/>
      <c r="Q41" s="788">
        <v>76750</v>
      </c>
      <c r="R41" s="773">
        <f t="shared" ref="R41:R54" si="17">Q41/$Q$55</f>
        <v>2.1936133588791745E-2</v>
      </c>
      <c r="S41" s="788">
        <v>32.669999999999995</v>
      </c>
      <c r="T41" s="773">
        <f t="shared" ref="T41:T54" si="18">S41/$S$55</f>
        <v>3.2701785356752819E-2</v>
      </c>
    </row>
    <row r="42" spans="1:20" ht="15" customHeight="1" x14ac:dyDescent="0.25">
      <c r="A42" s="348">
        <v>16000</v>
      </c>
      <c r="B42" s="344" t="s">
        <v>296</v>
      </c>
      <c r="E42" s="788">
        <v>0</v>
      </c>
      <c r="F42" s="789">
        <v>6022</v>
      </c>
      <c r="G42" s="789">
        <f t="shared" si="15"/>
        <v>6022</v>
      </c>
      <c r="H42" s="773">
        <f t="shared" si="16"/>
        <v>8.730471694830726E-3</v>
      </c>
      <c r="N42" s="884"/>
      <c r="Q42" s="788">
        <v>51968.66421000001</v>
      </c>
      <c r="R42" s="773">
        <f t="shared" si="17"/>
        <v>1.4853310235069975E-2</v>
      </c>
      <c r="S42" s="788">
        <v>30.09</v>
      </c>
      <c r="T42" s="773">
        <f t="shared" si="18"/>
        <v>3.0119275218386671E-2</v>
      </c>
    </row>
    <row r="43" spans="1:20" ht="15" customHeight="1" x14ac:dyDescent="0.25">
      <c r="A43" s="348">
        <v>17000</v>
      </c>
      <c r="B43" s="344" t="s">
        <v>9</v>
      </c>
      <c r="E43" s="788">
        <v>17203</v>
      </c>
      <c r="F43" s="789">
        <v>28536</v>
      </c>
      <c r="G43" s="789">
        <f t="shared" si="15"/>
        <v>45739</v>
      </c>
      <c r="H43" s="773">
        <f t="shared" si="16"/>
        <v>6.6310701569223279E-2</v>
      </c>
      <c r="N43" s="884"/>
      <c r="Q43" s="788">
        <v>113006</v>
      </c>
      <c r="R43" s="773">
        <f t="shared" si="17"/>
        <v>3.2298563027166126E-2</v>
      </c>
      <c r="S43" s="788">
        <v>83.823999999999998</v>
      </c>
      <c r="T43" s="773">
        <f t="shared" si="18"/>
        <v>8.3905554200932014E-2</v>
      </c>
    </row>
    <row r="44" spans="1:20" ht="15" customHeight="1" x14ac:dyDescent="0.25">
      <c r="A44" s="348">
        <v>18000</v>
      </c>
      <c r="B44" s="344" t="s">
        <v>10</v>
      </c>
      <c r="E44" s="788">
        <v>14572</v>
      </c>
      <c r="F44" s="789">
        <v>54719</v>
      </c>
      <c r="G44" s="789">
        <f t="shared" si="15"/>
        <v>69291</v>
      </c>
      <c r="H44" s="773">
        <f t="shared" si="16"/>
        <v>0.10045551547766786</v>
      </c>
      <c r="N44" s="884"/>
      <c r="Q44" s="788">
        <v>140660</v>
      </c>
      <c r="R44" s="773">
        <f t="shared" si="17"/>
        <v>4.0202430626702888E-2</v>
      </c>
      <c r="S44" s="788">
        <v>49.389000000000003</v>
      </c>
      <c r="T44" s="773">
        <f t="shared" si="18"/>
        <v>4.9437051637118624E-2</v>
      </c>
    </row>
    <row r="45" spans="1:20" ht="15" customHeight="1" x14ac:dyDescent="0.25">
      <c r="A45" s="348">
        <v>19000</v>
      </c>
      <c r="B45" s="344" t="s">
        <v>11</v>
      </c>
      <c r="E45" s="788">
        <v>2750</v>
      </c>
      <c r="F45" s="789">
        <v>2469</v>
      </c>
      <c r="G45" s="789">
        <f t="shared" si="15"/>
        <v>5219</v>
      </c>
      <c r="H45" s="773">
        <f t="shared" si="16"/>
        <v>7.5663121513320419E-3</v>
      </c>
      <c r="N45" s="884"/>
      <c r="Q45" s="788">
        <v>22243</v>
      </c>
      <c r="R45" s="773">
        <f t="shared" si="17"/>
        <v>6.3573344549250135E-3</v>
      </c>
      <c r="S45" s="788">
        <v>39.398190476190479</v>
      </c>
      <c r="T45" s="773">
        <f t="shared" si="18"/>
        <v>3.9436521836450703E-2</v>
      </c>
    </row>
    <row r="46" spans="1:20" ht="15" customHeight="1" x14ac:dyDescent="0.25">
      <c r="A46" s="348">
        <v>22000</v>
      </c>
      <c r="B46" s="344" t="s">
        <v>13</v>
      </c>
      <c r="E46" s="788">
        <v>8251</v>
      </c>
      <c r="F46" s="789">
        <v>24658</v>
      </c>
      <c r="G46" s="789">
        <f t="shared" si="15"/>
        <v>32909</v>
      </c>
      <c r="H46" s="773">
        <f t="shared" si="16"/>
        <v>4.7710244603982786E-2</v>
      </c>
      <c r="N46" s="884"/>
      <c r="Q46" s="788">
        <v>665162.17009000003</v>
      </c>
      <c r="R46" s="773">
        <f t="shared" si="17"/>
        <v>0.1901118725902913</v>
      </c>
      <c r="S46" s="788">
        <v>101.37299999999999</v>
      </c>
      <c r="T46" s="773">
        <f t="shared" si="18"/>
        <v>0.1014716280064311</v>
      </c>
    </row>
    <row r="47" spans="1:20" ht="15" customHeight="1" x14ac:dyDescent="0.25">
      <c r="A47" s="348">
        <v>23000</v>
      </c>
      <c r="B47" s="344" t="s">
        <v>14</v>
      </c>
      <c r="E47" s="788">
        <v>25094</v>
      </c>
      <c r="F47" s="789">
        <v>25341</v>
      </c>
      <c r="G47" s="789">
        <f t="shared" si="15"/>
        <v>50435</v>
      </c>
      <c r="H47" s="773">
        <f t="shared" si="16"/>
        <v>7.3118787766321428E-2</v>
      </c>
      <c r="N47" s="884"/>
      <c r="Q47" s="788">
        <v>263460</v>
      </c>
      <c r="R47" s="773">
        <f t="shared" si="17"/>
        <v>7.5300244368769684E-2</v>
      </c>
      <c r="S47" s="788">
        <v>59.408000000000001</v>
      </c>
      <c r="T47" s="773">
        <f t="shared" si="18"/>
        <v>5.9465799341107191E-2</v>
      </c>
    </row>
    <row r="48" spans="1:20" ht="15" customHeight="1" x14ac:dyDescent="0.25">
      <c r="A48" s="348">
        <v>24000</v>
      </c>
      <c r="B48" s="344" t="s">
        <v>15</v>
      </c>
      <c r="E48" s="788">
        <v>8328</v>
      </c>
      <c r="F48" s="789">
        <v>16824</v>
      </c>
      <c r="G48" s="789">
        <f t="shared" si="15"/>
        <v>25152</v>
      </c>
      <c r="H48" s="773">
        <f t="shared" si="16"/>
        <v>3.6464434418529132E-2</v>
      </c>
      <c r="N48" s="884"/>
      <c r="Q48" s="788">
        <v>221618.98699999999</v>
      </c>
      <c r="R48" s="773">
        <f t="shared" si="17"/>
        <v>6.3341546640321836E-2</v>
      </c>
      <c r="S48" s="788">
        <v>67.44</v>
      </c>
      <c r="T48" s="773">
        <f t="shared" si="18"/>
        <v>6.7505613849385082E-2</v>
      </c>
    </row>
    <row r="49" spans="1:20" ht="15" customHeight="1" x14ac:dyDescent="0.25">
      <c r="A49" s="348">
        <v>25000</v>
      </c>
      <c r="B49" s="344" t="s">
        <v>16</v>
      </c>
      <c r="E49" s="788">
        <v>11961</v>
      </c>
      <c r="F49" s="789">
        <v>12883</v>
      </c>
      <c r="G49" s="789">
        <f t="shared" si="15"/>
        <v>24844</v>
      </c>
      <c r="H49" s="773">
        <f t="shared" si="16"/>
        <v>3.6017907470337854E-2</v>
      </c>
      <c r="N49" s="884"/>
      <c r="Q49" s="788">
        <v>153194.47742000004</v>
      </c>
      <c r="R49" s="773">
        <f t="shared" si="17"/>
        <v>4.3784944908798196E-2</v>
      </c>
      <c r="S49" s="788">
        <v>51.32</v>
      </c>
      <c r="T49" s="773">
        <f t="shared" si="18"/>
        <v>5.1369930349205846E-2</v>
      </c>
    </row>
    <row r="50" spans="1:20" ht="15" customHeight="1" x14ac:dyDescent="0.25">
      <c r="A50" s="348">
        <v>27000</v>
      </c>
      <c r="B50" s="344" t="s">
        <v>18</v>
      </c>
      <c r="E50" s="788">
        <v>8786</v>
      </c>
      <c r="F50" s="789">
        <v>44699</v>
      </c>
      <c r="G50" s="789">
        <f t="shared" si="15"/>
        <v>53485</v>
      </c>
      <c r="H50" s="773">
        <f t="shared" si="16"/>
        <v>7.75405643636701E-2</v>
      </c>
      <c r="N50" s="884"/>
      <c r="Q50" s="788">
        <v>600548</v>
      </c>
      <c r="R50" s="773">
        <f t="shared" si="17"/>
        <v>0.17164431471637401</v>
      </c>
      <c r="S50" s="788">
        <v>64.890999999999991</v>
      </c>
      <c r="T50" s="773">
        <f t="shared" si="18"/>
        <v>6.4954133871596181E-2</v>
      </c>
    </row>
    <row r="51" spans="1:20" ht="15" customHeight="1" x14ac:dyDescent="0.25">
      <c r="A51" s="348">
        <v>28000</v>
      </c>
      <c r="B51" s="344" t="s">
        <v>19</v>
      </c>
      <c r="E51" s="788">
        <v>16986</v>
      </c>
      <c r="F51" s="789">
        <v>17413</v>
      </c>
      <c r="G51" s="789">
        <f t="shared" si="15"/>
        <v>34399</v>
      </c>
      <c r="H51" s="773">
        <f t="shared" si="16"/>
        <v>4.9870391203999026E-2</v>
      </c>
      <c r="N51" s="884"/>
      <c r="Q51" s="788">
        <v>111345</v>
      </c>
      <c r="R51" s="773">
        <f t="shared" si="17"/>
        <v>3.1823827940638656E-2</v>
      </c>
      <c r="S51" s="788">
        <v>76.541999999999987</v>
      </c>
      <c r="T51" s="773">
        <f t="shared" si="18"/>
        <v>7.6616469384039626E-2</v>
      </c>
    </row>
    <row r="52" spans="1:20" ht="15" customHeight="1" x14ac:dyDescent="0.25">
      <c r="A52" s="348">
        <v>31000</v>
      </c>
      <c r="B52" s="344" t="s">
        <v>20</v>
      </c>
      <c r="E52" s="788">
        <v>66820</v>
      </c>
      <c r="F52" s="789">
        <v>57401</v>
      </c>
      <c r="G52" s="789">
        <f t="shared" si="15"/>
        <v>124221</v>
      </c>
      <c r="H52" s="773">
        <f t="shared" si="16"/>
        <v>0.18009098711450808</v>
      </c>
      <c r="N52" s="884"/>
      <c r="Q52" s="788">
        <v>106851.15062999999</v>
      </c>
      <c r="R52" s="773">
        <f t="shared" si="17"/>
        <v>3.0539428199814842E-2</v>
      </c>
      <c r="S52" s="788">
        <v>38.982999999999997</v>
      </c>
      <c r="T52" s="773">
        <f t="shared" si="18"/>
        <v>3.9020927412375124E-2</v>
      </c>
    </row>
    <row r="53" spans="1:20" ht="15" customHeight="1" x14ac:dyDescent="0.25">
      <c r="A53" s="348">
        <v>41000</v>
      </c>
      <c r="B53" s="344" t="s">
        <v>21</v>
      </c>
      <c r="E53" s="788">
        <v>38529</v>
      </c>
      <c r="F53" s="789">
        <v>75400</v>
      </c>
      <c r="G53" s="789">
        <f t="shared" si="15"/>
        <v>113929</v>
      </c>
      <c r="H53" s="773">
        <f t="shared" si="16"/>
        <v>0.16517002818338919</v>
      </c>
      <c r="N53" s="884"/>
      <c r="Q53" s="788">
        <v>400144</v>
      </c>
      <c r="R53" s="773">
        <f t="shared" si="17"/>
        <v>0.11436628324108775</v>
      </c>
      <c r="S53" s="788">
        <v>138.63499999999999</v>
      </c>
      <c r="T53" s="773">
        <f t="shared" si="18"/>
        <v>0.13876988102030693</v>
      </c>
    </row>
    <row r="54" spans="1:20" ht="15" customHeight="1" thickBot="1" x14ac:dyDescent="0.3">
      <c r="A54" s="349">
        <v>43000</v>
      </c>
      <c r="B54" s="346" t="s">
        <v>22</v>
      </c>
      <c r="E54" s="790">
        <v>17638</v>
      </c>
      <c r="F54" s="789">
        <v>42923</v>
      </c>
      <c r="G54" s="791">
        <f t="shared" si="15"/>
        <v>60561</v>
      </c>
      <c r="H54" s="779">
        <f t="shared" si="16"/>
        <v>8.7799086069519028E-2</v>
      </c>
      <c r="N54" s="884"/>
      <c r="Q54" s="788">
        <v>262217.97700000001</v>
      </c>
      <c r="R54" s="773">
        <f t="shared" si="17"/>
        <v>7.494525827823742E-2</v>
      </c>
      <c r="S54" s="788">
        <v>74.713000000000008</v>
      </c>
      <c r="T54" s="773">
        <f t="shared" si="18"/>
        <v>7.4785689909980843E-2</v>
      </c>
    </row>
    <row r="55" spans="1:20" ht="15" customHeight="1" thickBot="1" x14ac:dyDescent="0.3">
      <c r="A55" s="570">
        <v>2021</v>
      </c>
      <c r="B55" s="350" t="s">
        <v>126</v>
      </c>
      <c r="E55" s="792">
        <f>SUM(E40:E54)</f>
        <v>259066</v>
      </c>
      <c r="F55" s="793">
        <f>SUM(F40:F54)</f>
        <v>430702</v>
      </c>
      <c r="G55" s="793">
        <f>SUM(G40:G54)</f>
        <v>689768</v>
      </c>
      <c r="H55" s="781">
        <f>SUM(H40:H54)</f>
        <v>1</v>
      </c>
      <c r="Q55" s="792">
        <f>SUM(Q40:Q54)</f>
        <v>3498793.4263500003</v>
      </c>
      <c r="R55" s="781">
        <f>SUM(R40:R54)</f>
        <v>1</v>
      </c>
      <c r="S55" s="792">
        <f>SUM(S40:S54)</f>
        <v>999.0280238095238</v>
      </c>
      <c r="T55" s="781">
        <f>SUM(T40:T54)</f>
        <v>1.0000000000000002</v>
      </c>
    </row>
    <row r="56" spans="1:20" ht="15" customHeight="1" thickBot="1" x14ac:dyDescent="0.3">
      <c r="E56" s="11"/>
      <c r="F56" s="11"/>
      <c r="G56" s="11"/>
    </row>
    <row r="57" spans="1:20" ht="15" customHeight="1" x14ac:dyDescent="0.25">
      <c r="A57" s="347">
        <v>12000</v>
      </c>
      <c r="B57" s="343" t="s">
        <v>5</v>
      </c>
      <c r="E57" s="786">
        <v>25559</v>
      </c>
      <c r="F57" s="787">
        <v>26393</v>
      </c>
      <c r="G57" s="787">
        <f>E57+F57</f>
        <v>51952</v>
      </c>
      <c r="H57" s="766">
        <f>G57/$G$72</f>
        <v>4.3567116353685952E-2</v>
      </c>
      <c r="Q57" s="786">
        <v>299539</v>
      </c>
      <c r="R57" s="766">
        <f>Q57/$Q$72</f>
        <v>9.2417985794303062E-2</v>
      </c>
      <c r="S57" s="786">
        <v>88.014166666666654</v>
      </c>
      <c r="T57" s="766">
        <f>S57/$S$72</f>
        <v>9.2331604781908272E-2</v>
      </c>
    </row>
    <row r="58" spans="1:20" ht="15" customHeight="1" x14ac:dyDescent="0.25">
      <c r="A58" s="348">
        <v>13000</v>
      </c>
      <c r="B58" s="344" t="s">
        <v>6</v>
      </c>
      <c r="E58" s="788">
        <v>18935</v>
      </c>
      <c r="F58" s="789">
        <v>16054</v>
      </c>
      <c r="G58" s="789">
        <f t="shared" ref="G58:G71" si="19">E58+F58</f>
        <v>34989</v>
      </c>
      <c r="H58" s="773">
        <f t="shared" ref="H58:H71" si="20">G58/$G$72</f>
        <v>2.9341889322819486E-2</v>
      </c>
      <c r="Q58" s="788">
        <v>63241.3</v>
      </c>
      <c r="R58" s="773">
        <f t="shared" ref="R58:R71" si="21">Q58/$Q$72</f>
        <v>1.9512095470083222E-2</v>
      </c>
      <c r="S58" s="788">
        <v>26.16</v>
      </c>
      <c r="T58" s="773">
        <f t="shared" ref="T58:T71" si="22">S58/$S$72</f>
        <v>2.7443250019539133E-2</v>
      </c>
    </row>
    <row r="59" spans="1:20" ht="15" customHeight="1" x14ac:dyDescent="0.25">
      <c r="A59" s="348">
        <v>16000</v>
      </c>
      <c r="B59" s="344" t="s">
        <v>296</v>
      </c>
      <c r="E59" s="788">
        <v>1539</v>
      </c>
      <c r="F59" s="789">
        <v>13930</v>
      </c>
      <c r="G59" s="789">
        <f t="shared" si="19"/>
        <v>15469</v>
      </c>
      <c r="H59" s="773">
        <f t="shared" si="20"/>
        <v>1.2972353766460734E-2</v>
      </c>
      <c r="Q59" s="788">
        <v>41052.07499999999</v>
      </c>
      <c r="R59" s="773">
        <f t="shared" si="21"/>
        <v>1.2665963644722934E-2</v>
      </c>
      <c r="S59" s="788">
        <v>36.549999999999997</v>
      </c>
      <c r="T59" s="773">
        <f t="shared" si="22"/>
        <v>3.8342920038767402E-2</v>
      </c>
    </row>
    <row r="60" spans="1:20" ht="15" customHeight="1" x14ac:dyDescent="0.25">
      <c r="A60" s="348">
        <v>17000</v>
      </c>
      <c r="B60" s="344" t="s">
        <v>9</v>
      </c>
      <c r="E60" s="788">
        <v>27894</v>
      </c>
      <c r="F60" s="789">
        <v>47882</v>
      </c>
      <c r="G60" s="789">
        <f t="shared" si="19"/>
        <v>75776</v>
      </c>
      <c r="H60" s="773">
        <f t="shared" si="20"/>
        <v>6.3546000323700863E-2</v>
      </c>
      <c r="Q60" s="788">
        <v>113355</v>
      </c>
      <c r="R60" s="773">
        <f t="shared" si="21"/>
        <v>3.497387912663534E-2</v>
      </c>
      <c r="S60" s="788">
        <v>80.03</v>
      </c>
      <c r="T60" s="773">
        <f t="shared" si="22"/>
        <v>8.3955783603353096E-2</v>
      </c>
    </row>
    <row r="61" spans="1:20" ht="15" customHeight="1" x14ac:dyDescent="0.25">
      <c r="A61" s="348">
        <v>18000</v>
      </c>
      <c r="B61" s="344" t="s">
        <v>10</v>
      </c>
      <c r="E61" s="788">
        <v>26478</v>
      </c>
      <c r="F61" s="789">
        <v>49933</v>
      </c>
      <c r="G61" s="789">
        <f t="shared" si="19"/>
        <v>76411</v>
      </c>
      <c r="H61" s="773">
        <f t="shared" si="20"/>
        <v>6.4078513391236089E-2</v>
      </c>
      <c r="Q61" s="788">
        <v>106611</v>
      </c>
      <c r="R61" s="773">
        <f t="shared" si="21"/>
        <v>3.2893125381057035E-2</v>
      </c>
      <c r="S61" s="788">
        <v>42.830999999999996</v>
      </c>
      <c r="T61" s="773">
        <f t="shared" si="22"/>
        <v>4.4932027583596351E-2</v>
      </c>
    </row>
    <row r="62" spans="1:20" ht="15" customHeight="1" x14ac:dyDescent="0.25">
      <c r="A62" s="348">
        <v>19000</v>
      </c>
      <c r="B62" s="344" t="s">
        <v>11</v>
      </c>
      <c r="E62" s="788">
        <v>6690</v>
      </c>
      <c r="F62" s="789">
        <v>8140</v>
      </c>
      <c r="G62" s="789">
        <f t="shared" si="19"/>
        <v>14830</v>
      </c>
      <c r="H62" s="773">
        <f t="shared" si="20"/>
        <v>1.2436486285901653E-2</v>
      </c>
      <c r="Q62" s="788">
        <v>21625</v>
      </c>
      <c r="R62" s="773">
        <f t="shared" si="21"/>
        <v>6.6720491915971004E-3</v>
      </c>
      <c r="S62" s="788">
        <v>37.450000000000003</v>
      </c>
      <c r="T62" s="773">
        <f t="shared" si="22"/>
        <v>3.928706854861394E-2</v>
      </c>
    </row>
    <row r="63" spans="1:20" ht="15" customHeight="1" x14ac:dyDescent="0.25">
      <c r="A63" s="348">
        <v>22000</v>
      </c>
      <c r="B63" s="344" t="s">
        <v>13</v>
      </c>
      <c r="E63" s="788">
        <v>17014</v>
      </c>
      <c r="F63" s="789">
        <v>34861</v>
      </c>
      <c r="G63" s="789">
        <f t="shared" si="19"/>
        <v>51875</v>
      </c>
      <c r="H63" s="773">
        <f t="shared" si="20"/>
        <v>4.3502543902976955E-2</v>
      </c>
      <c r="Q63" s="788">
        <v>615429.12308000005</v>
      </c>
      <c r="R63" s="773">
        <f t="shared" si="21"/>
        <v>0.18988085008699312</v>
      </c>
      <c r="S63" s="788">
        <v>92.820000000000007</v>
      </c>
      <c r="T63" s="773">
        <f t="shared" si="22"/>
        <v>9.7373182982172124E-2</v>
      </c>
    </row>
    <row r="64" spans="1:20" ht="15" customHeight="1" x14ac:dyDescent="0.25">
      <c r="A64" s="348">
        <v>23000</v>
      </c>
      <c r="B64" s="344" t="s">
        <v>14</v>
      </c>
      <c r="E64" s="788">
        <v>37477</v>
      </c>
      <c r="F64" s="789">
        <v>45504</v>
      </c>
      <c r="G64" s="789">
        <f t="shared" si="19"/>
        <v>82981</v>
      </c>
      <c r="H64" s="773">
        <f t="shared" si="20"/>
        <v>6.9588136782899879E-2</v>
      </c>
      <c r="Q64" s="788">
        <v>255621</v>
      </c>
      <c r="R64" s="773">
        <f t="shared" si="21"/>
        <v>7.8867786654577679E-2</v>
      </c>
      <c r="S64" s="788">
        <v>65.179999999999993</v>
      </c>
      <c r="T64" s="773">
        <f t="shared" si="22"/>
        <v>6.8377333190885348E-2</v>
      </c>
    </row>
    <row r="65" spans="1:20" ht="15" customHeight="1" x14ac:dyDescent="0.25">
      <c r="A65" s="348">
        <v>24000</v>
      </c>
      <c r="B65" s="344" t="s">
        <v>15</v>
      </c>
      <c r="E65" s="788">
        <v>17200</v>
      </c>
      <c r="F65" s="789">
        <v>38829</v>
      </c>
      <c r="G65" s="789">
        <f t="shared" si="19"/>
        <v>56029</v>
      </c>
      <c r="H65" s="773">
        <f t="shared" si="20"/>
        <v>4.6986101828238959E-2</v>
      </c>
      <c r="Q65" s="788">
        <v>117107.19656</v>
      </c>
      <c r="R65" s="773">
        <f t="shared" si="21"/>
        <v>3.6131559590212747E-2</v>
      </c>
      <c r="S65" s="788">
        <v>62.777700381679388</v>
      </c>
      <c r="T65" s="773">
        <f t="shared" si="22"/>
        <v>6.585719140772725E-2</v>
      </c>
    </row>
    <row r="66" spans="1:20" ht="15" customHeight="1" x14ac:dyDescent="0.25">
      <c r="A66" s="348">
        <v>25000</v>
      </c>
      <c r="B66" s="344" t="s">
        <v>16</v>
      </c>
      <c r="E66" s="788">
        <v>16477</v>
      </c>
      <c r="F66" s="789">
        <v>30334</v>
      </c>
      <c r="G66" s="789">
        <f t="shared" si="19"/>
        <v>46811</v>
      </c>
      <c r="H66" s="773">
        <f t="shared" si="20"/>
        <v>3.9255857014790445E-2</v>
      </c>
      <c r="Q66" s="788">
        <v>152938.08707000004</v>
      </c>
      <c r="R66" s="773">
        <f t="shared" si="21"/>
        <v>4.7186609951435872E-2</v>
      </c>
      <c r="S66" s="788">
        <v>49.47</v>
      </c>
      <c r="T66" s="773">
        <f t="shared" si="22"/>
        <v>5.1896696424564258E-2</v>
      </c>
    </row>
    <row r="67" spans="1:20" ht="15" customHeight="1" x14ac:dyDescent="0.25">
      <c r="A67" s="348">
        <v>27000</v>
      </c>
      <c r="B67" s="344" t="s">
        <v>18</v>
      </c>
      <c r="E67" s="788">
        <v>20948</v>
      </c>
      <c r="F67" s="789">
        <v>80264</v>
      </c>
      <c r="G67" s="789">
        <f t="shared" si="19"/>
        <v>101212</v>
      </c>
      <c r="H67" s="773">
        <f t="shared" si="20"/>
        <v>8.4876712742324889E-2</v>
      </c>
      <c r="Q67" s="788">
        <v>641350</v>
      </c>
      <c r="R67" s="773">
        <f t="shared" si="21"/>
        <v>0.19787832365460348</v>
      </c>
      <c r="S67" s="788">
        <v>71.242000000000004</v>
      </c>
      <c r="T67" s="773">
        <f t="shared" si="22"/>
        <v>7.4736697931651649E-2</v>
      </c>
    </row>
    <row r="68" spans="1:20" ht="15" customHeight="1" x14ac:dyDescent="0.25">
      <c r="A68" s="348">
        <v>28000</v>
      </c>
      <c r="B68" s="344" t="s">
        <v>19</v>
      </c>
      <c r="E68" s="788">
        <v>29575</v>
      </c>
      <c r="F68" s="789">
        <v>41492</v>
      </c>
      <c r="G68" s="789">
        <f t="shared" si="19"/>
        <v>71067</v>
      </c>
      <c r="H68" s="773">
        <f t="shared" si="20"/>
        <v>5.9597017591380502E-2</v>
      </c>
      <c r="Q68" s="788">
        <v>92274</v>
      </c>
      <c r="R68" s="773">
        <f t="shared" si="21"/>
        <v>2.8469672467303159E-2</v>
      </c>
      <c r="S68" s="788">
        <v>72.974000000000004</v>
      </c>
      <c r="T68" s="773">
        <f t="shared" si="22"/>
        <v>7.6553659286156303E-2</v>
      </c>
    </row>
    <row r="69" spans="1:20" ht="15" customHeight="1" x14ac:dyDescent="0.25">
      <c r="A69" s="348">
        <v>31000</v>
      </c>
      <c r="B69" s="344" t="s">
        <v>20</v>
      </c>
      <c r="E69" s="788">
        <v>105434</v>
      </c>
      <c r="F69" s="789">
        <v>130563</v>
      </c>
      <c r="G69" s="789">
        <f t="shared" si="19"/>
        <v>235997</v>
      </c>
      <c r="H69" s="773">
        <f t="shared" si="20"/>
        <v>0.19790785259702851</v>
      </c>
      <c r="Q69" s="788">
        <v>108874.39627</v>
      </c>
      <c r="R69" s="773">
        <f t="shared" si="21"/>
        <v>3.3591460236711022E-2</v>
      </c>
      <c r="S69" s="788">
        <v>38.982999999999997</v>
      </c>
      <c r="T69" s="773">
        <f t="shared" si="22"/>
        <v>4.0895268177052524E-2</v>
      </c>
    </row>
    <row r="70" spans="1:20" ht="15" customHeight="1" x14ac:dyDescent="0.25">
      <c r="A70" s="348">
        <v>41000</v>
      </c>
      <c r="B70" s="344" t="s">
        <v>21</v>
      </c>
      <c r="E70" s="788">
        <v>48115</v>
      </c>
      <c r="F70" s="789">
        <v>121827</v>
      </c>
      <c r="G70" s="789">
        <f t="shared" si="19"/>
        <v>169942</v>
      </c>
      <c r="H70" s="773">
        <f t="shared" si="20"/>
        <v>0.14251391452452453</v>
      </c>
      <c r="Q70" s="788">
        <v>346190</v>
      </c>
      <c r="R70" s="773">
        <f t="shared" si="21"/>
        <v>0.10681140853821966</v>
      </c>
      <c r="S70" s="788">
        <v>126.685</v>
      </c>
      <c r="T70" s="773">
        <f t="shared" si="22"/>
        <v>0.13289939329989736</v>
      </c>
    </row>
    <row r="71" spans="1:20" ht="15" customHeight="1" thickBot="1" x14ac:dyDescent="0.3">
      <c r="A71" s="349">
        <v>43000</v>
      </c>
      <c r="B71" s="346" t="s">
        <v>22</v>
      </c>
      <c r="E71" s="790">
        <v>32953</v>
      </c>
      <c r="F71" s="789">
        <v>74165</v>
      </c>
      <c r="G71" s="791">
        <f t="shared" si="19"/>
        <v>107118</v>
      </c>
      <c r="H71" s="779">
        <f t="shared" si="20"/>
        <v>8.9829503572030567E-2</v>
      </c>
      <c r="Q71" s="788">
        <v>265926</v>
      </c>
      <c r="R71" s="773">
        <f t="shared" si="21"/>
        <v>8.2047230211544531E-2</v>
      </c>
      <c r="S71" s="788">
        <v>62.073000000000008</v>
      </c>
      <c r="T71" s="773">
        <f t="shared" si="22"/>
        <v>6.5117922724115165E-2</v>
      </c>
    </row>
    <row r="72" spans="1:20" ht="15" customHeight="1" thickBot="1" x14ac:dyDescent="0.3">
      <c r="A72" s="570">
        <v>2020</v>
      </c>
      <c r="B72" s="350" t="s">
        <v>126</v>
      </c>
      <c r="E72" s="792">
        <f>SUM(E57:E71)</f>
        <v>432288</v>
      </c>
      <c r="F72" s="793">
        <f>SUM(F57:F71)</f>
        <v>760171</v>
      </c>
      <c r="G72" s="793">
        <f>SUM(G57:G71)</f>
        <v>1192459</v>
      </c>
      <c r="H72" s="781">
        <f>SUM(H57:H71)</f>
        <v>1</v>
      </c>
      <c r="Q72" s="792">
        <f>SUM(Q57:Q71)</f>
        <v>3241133.1779800002</v>
      </c>
      <c r="R72" s="781">
        <f>SUM(R57:R71)</f>
        <v>0.99999999999999978</v>
      </c>
      <c r="S72" s="792">
        <f>SUM(S57:S71)</f>
        <v>953.2398670483459</v>
      </c>
      <c r="T72" s="781">
        <f>SUM(T57:T71)</f>
        <v>1.0000000000000002</v>
      </c>
    </row>
    <row r="73" spans="1:20" ht="15" customHeight="1" thickBot="1" x14ac:dyDescent="0.3">
      <c r="E73" s="11"/>
      <c r="F73" s="11"/>
      <c r="G73" s="11"/>
    </row>
    <row r="74" spans="1:20" ht="15" customHeight="1" x14ac:dyDescent="0.25">
      <c r="A74" s="347">
        <v>12000</v>
      </c>
      <c r="B74" s="343" t="s">
        <v>5</v>
      </c>
      <c r="Q74" s="786">
        <v>256539</v>
      </c>
      <c r="R74" s="766">
        <f>Q74/$Q$89</f>
        <v>7.2269026588795249E-2</v>
      </c>
      <c r="S74" s="786">
        <v>87.69950036075042</v>
      </c>
      <c r="T74" s="766">
        <f>S74/$S$89</f>
        <v>9.9108415081286885E-2</v>
      </c>
    </row>
    <row r="75" spans="1:20" ht="15" customHeight="1" x14ac:dyDescent="0.25">
      <c r="A75" s="348">
        <v>13000</v>
      </c>
      <c r="B75" s="344" t="s">
        <v>6</v>
      </c>
      <c r="Q75" s="788">
        <v>81972</v>
      </c>
      <c r="R75" s="773">
        <f t="shared" ref="R75:R88" si="23">Q75/$Q$89</f>
        <v>2.3092148357702822E-2</v>
      </c>
      <c r="S75" s="788">
        <v>26.64</v>
      </c>
      <c r="T75" s="773">
        <f t="shared" ref="T75:T88" si="24">S75/$S$89</f>
        <v>3.0105623942039195E-2</v>
      </c>
    </row>
    <row r="76" spans="1:20" ht="15" customHeight="1" x14ac:dyDescent="0.25">
      <c r="A76" s="348">
        <v>16000</v>
      </c>
      <c r="B76" s="344" t="s">
        <v>296</v>
      </c>
      <c r="Q76" s="788">
        <v>46482.251000000004</v>
      </c>
      <c r="R76" s="773">
        <f t="shared" si="23"/>
        <v>1.3094410726735719E-2</v>
      </c>
      <c r="S76" s="788">
        <v>24.9</v>
      </c>
      <c r="T76" s="773">
        <f t="shared" si="24"/>
        <v>2.8139265621500598E-2</v>
      </c>
    </row>
    <row r="77" spans="1:20" ht="15" customHeight="1" x14ac:dyDescent="0.25">
      <c r="A77" s="348">
        <v>17000</v>
      </c>
      <c r="B77" s="344" t="s">
        <v>9</v>
      </c>
      <c r="Q77" s="788">
        <v>109424</v>
      </c>
      <c r="R77" s="773">
        <f t="shared" si="23"/>
        <v>3.0825589736657315E-2</v>
      </c>
      <c r="S77" s="788">
        <v>76.259999999999991</v>
      </c>
      <c r="T77" s="773">
        <f t="shared" si="24"/>
        <v>8.6180738807053625E-2</v>
      </c>
    </row>
    <row r="78" spans="1:20" ht="15" customHeight="1" x14ac:dyDescent="0.25">
      <c r="A78" s="348">
        <v>18000</v>
      </c>
      <c r="B78" s="344" t="s">
        <v>10</v>
      </c>
      <c r="Q78" s="788">
        <v>77459</v>
      </c>
      <c r="R78" s="773">
        <f t="shared" si="23"/>
        <v>2.1820801244806797E-2</v>
      </c>
      <c r="S78" s="788">
        <v>37.130000000000003</v>
      </c>
      <c r="T78" s="773">
        <f t="shared" si="24"/>
        <v>4.196027841471154E-2</v>
      </c>
    </row>
    <row r="79" spans="1:20" ht="15" customHeight="1" x14ac:dyDescent="0.25">
      <c r="A79" s="348">
        <v>19000</v>
      </c>
      <c r="B79" s="344" t="s">
        <v>11</v>
      </c>
      <c r="Q79" s="788">
        <v>27009</v>
      </c>
      <c r="R79" s="773">
        <f t="shared" si="23"/>
        <v>7.6086448420582091E-3</v>
      </c>
      <c r="S79" s="788">
        <v>32.795999999999999</v>
      </c>
      <c r="T79" s="773">
        <f t="shared" si="24"/>
        <v>3.7062464069186091E-2</v>
      </c>
    </row>
    <row r="80" spans="1:20" ht="15" customHeight="1" x14ac:dyDescent="0.25">
      <c r="A80" s="348">
        <v>22000</v>
      </c>
      <c r="B80" s="344" t="s">
        <v>13</v>
      </c>
      <c r="Q80" s="788">
        <v>626372.77730000007</v>
      </c>
      <c r="R80" s="773">
        <f t="shared" si="23"/>
        <v>0.17645407091004187</v>
      </c>
      <c r="S80" s="788">
        <v>100.79999999999998</v>
      </c>
      <c r="T80" s="773">
        <f t="shared" si="24"/>
        <v>0.11391317167258071</v>
      </c>
    </row>
    <row r="81" spans="1:20" ht="15" customHeight="1" x14ac:dyDescent="0.25">
      <c r="A81" s="348">
        <v>23000</v>
      </c>
      <c r="B81" s="344" t="s">
        <v>14</v>
      </c>
      <c r="Q81" s="788">
        <v>333831</v>
      </c>
      <c r="R81" s="773">
        <f t="shared" si="23"/>
        <v>9.4042782637977482E-2</v>
      </c>
      <c r="S81" s="788">
        <v>69.490000000000009</v>
      </c>
      <c r="T81" s="773">
        <f t="shared" si="24"/>
        <v>7.8530022812774172E-2</v>
      </c>
    </row>
    <row r="82" spans="1:20" ht="15" customHeight="1" x14ac:dyDescent="0.25">
      <c r="A82" s="348">
        <v>24000</v>
      </c>
      <c r="B82" s="344" t="s">
        <v>15</v>
      </c>
      <c r="Q82" s="788">
        <v>166569.09890000001</v>
      </c>
      <c r="R82" s="773">
        <f t="shared" si="23"/>
        <v>4.6923807441659034E-2</v>
      </c>
      <c r="S82" s="788">
        <v>55.709999999999994</v>
      </c>
      <c r="T82" s="773">
        <f t="shared" si="24"/>
        <v>6.295736898689952E-2</v>
      </c>
    </row>
    <row r="83" spans="1:20" ht="15" customHeight="1" x14ac:dyDescent="0.25">
      <c r="A83" s="348">
        <v>25000</v>
      </c>
      <c r="B83" s="344" t="s">
        <v>16</v>
      </c>
      <c r="Q83" s="788">
        <v>152715.82169000001</v>
      </c>
      <c r="R83" s="773">
        <f t="shared" si="23"/>
        <v>4.30212317746788E-2</v>
      </c>
      <c r="S83" s="788">
        <v>36.94</v>
      </c>
      <c r="T83" s="773">
        <f t="shared" si="24"/>
        <v>4.1745561126836625E-2</v>
      </c>
    </row>
    <row r="84" spans="1:20" ht="15" customHeight="1" x14ac:dyDescent="0.25">
      <c r="A84" s="348">
        <v>27000</v>
      </c>
      <c r="B84" s="344" t="s">
        <v>18</v>
      </c>
      <c r="Q84" s="788">
        <v>860089</v>
      </c>
      <c r="R84" s="773">
        <f t="shared" si="23"/>
        <v>0.24229374406905116</v>
      </c>
      <c r="S84" s="788">
        <v>63.196000000000005</v>
      </c>
      <c r="T84" s="773">
        <f t="shared" si="24"/>
        <v>7.1417230129170756E-2</v>
      </c>
    </row>
    <row r="85" spans="1:20" ht="15" customHeight="1" x14ac:dyDescent="0.25">
      <c r="A85" s="348">
        <v>28000</v>
      </c>
      <c r="B85" s="344" t="s">
        <v>19</v>
      </c>
      <c r="Q85" s="788">
        <v>116528</v>
      </c>
      <c r="R85" s="773">
        <f t="shared" si="23"/>
        <v>3.2826841651129583E-2</v>
      </c>
      <c r="S85" s="788">
        <v>73.295999999999992</v>
      </c>
      <c r="T85" s="773">
        <f t="shared" si="24"/>
        <v>8.2831149116205122E-2</v>
      </c>
    </row>
    <row r="86" spans="1:20" ht="15" customHeight="1" x14ac:dyDescent="0.25">
      <c r="A86" s="348">
        <v>31000</v>
      </c>
      <c r="B86" s="344" t="s">
        <v>20</v>
      </c>
      <c r="Q86" s="788">
        <v>119714.04189000001</v>
      </c>
      <c r="R86" s="773">
        <f t="shared" si="23"/>
        <v>3.3724374369591206E-2</v>
      </c>
      <c r="S86" s="788">
        <v>43.692</v>
      </c>
      <c r="T86" s="773">
        <f t="shared" si="24"/>
        <v>4.9375935483317437E-2</v>
      </c>
    </row>
    <row r="87" spans="1:20" ht="15" customHeight="1" x14ac:dyDescent="0.25">
      <c r="A87" s="348">
        <v>41000</v>
      </c>
      <c r="B87" s="344" t="s">
        <v>21</v>
      </c>
      <c r="Q87" s="788">
        <v>321354</v>
      </c>
      <c r="R87" s="773">
        <f t="shared" si="23"/>
        <v>9.0527914938530629E-2</v>
      </c>
      <c r="S87" s="788">
        <v>109.22000000000001</v>
      </c>
      <c r="T87" s="773">
        <f t="shared" si="24"/>
        <v>0.12342853779840544</v>
      </c>
    </row>
    <row r="88" spans="1:20" ht="15" customHeight="1" thickBot="1" x14ac:dyDescent="0.3">
      <c r="A88" s="349">
        <v>43000</v>
      </c>
      <c r="B88" s="346" t="s">
        <v>22</v>
      </c>
      <c r="Q88" s="788">
        <v>253719</v>
      </c>
      <c r="R88" s="773">
        <f t="shared" si="23"/>
        <v>7.1474610710584127E-2</v>
      </c>
      <c r="S88" s="788">
        <v>47.114999999999995</v>
      </c>
      <c r="T88" s="773">
        <f t="shared" si="24"/>
        <v>5.3244236938032152E-2</v>
      </c>
    </row>
    <row r="89" spans="1:20" ht="15" customHeight="1" thickBot="1" x14ac:dyDescent="0.3">
      <c r="A89" s="570">
        <v>2019</v>
      </c>
      <c r="B89" s="350" t="s">
        <v>126</v>
      </c>
      <c r="Q89" s="792">
        <f>SUM(Q74:Q88)</f>
        <v>3549777.9907800001</v>
      </c>
      <c r="R89" s="781">
        <f>SUM(R74:R88)</f>
        <v>0.99999999999999989</v>
      </c>
      <c r="S89" s="792">
        <f>SUM(S74:S88)</f>
        <v>884.88450036075051</v>
      </c>
      <c r="T89" s="781">
        <f>SUM(T74:T88)</f>
        <v>0.99999999999999989</v>
      </c>
    </row>
    <row r="90" spans="1:20" ht="15" customHeight="1" x14ac:dyDescent="0.25"/>
    <row r="91" spans="1:20" x14ac:dyDescent="0.25">
      <c r="A91" s="618" t="s">
        <v>269</v>
      </c>
    </row>
  </sheetData>
  <mergeCells count="14">
    <mergeCell ref="A3:B3"/>
    <mergeCell ref="A4:A5"/>
    <mergeCell ref="B4:B5"/>
    <mergeCell ref="C4:D4"/>
    <mergeCell ref="E4:H4"/>
    <mergeCell ref="V4:V5"/>
    <mergeCell ref="A21:B21"/>
    <mergeCell ref="K4:L4"/>
    <mergeCell ref="M4:N4"/>
    <mergeCell ref="O4:P4"/>
    <mergeCell ref="Q4:R4"/>
    <mergeCell ref="S4:T4"/>
    <mergeCell ref="U4:U5"/>
    <mergeCell ref="I4:J4"/>
  </mergeCells>
  <hyperlinks>
    <hyperlink ref="A91" location="'0 Seznam'!A1" display="Seznam" xr:uid="{2C7935D0-7381-4E9E-9576-505719634772}"/>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C2E6"/>
  </sheetPr>
  <dimension ref="A1:V42"/>
  <sheetViews>
    <sheetView zoomScale="85" zoomScaleNormal="85" workbookViewId="0">
      <selection activeCell="A41" sqref="A41"/>
    </sheetView>
  </sheetViews>
  <sheetFormatPr defaultRowHeight="15" x14ac:dyDescent="0.25"/>
  <cols>
    <col min="1" max="1" width="10.5703125" customWidth="1"/>
    <col min="2" max="2" width="52.28515625" customWidth="1"/>
    <col min="3" max="20" width="10.85546875" customWidth="1"/>
    <col min="21" max="22" width="15.7109375" customWidth="1"/>
  </cols>
  <sheetData>
    <row r="1" spans="1:22" ht="27.75" x14ac:dyDescent="0.25">
      <c r="A1" s="316" t="s">
        <v>317</v>
      </c>
    </row>
    <row r="2" spans="1:22" ht="15.75" thickBot="1" x14ac:dyDescent="0.3"/>
    <row r="3" spans="1:22" ht="15.75" thickBot="1" x14ac:dyDescent="0.3">
      <c r="A3" s="979" t="s">
        <v>115</v>
      </c>
      <c r="B3" s="980"/>
      <c r="C3" s="317"/>
      <c r="D3" s="711">
        <v>0.15</v>
      </c>
      <c r="E3" s="710"/>
      <c r="F3" s="763"/>
      <c r="G3" s="763"/>
      <c r="H3" s="711">
        <v>0.22</v>
      </c>
      <c r="I3" s="710"/>
      <c r="J3" s="711">
        <v>0.1</v>
      </c>
      <c r="K3" s="710"/>
      <c r="L3" s="711">
        <v>0.3</v>
      </c>
      <c r="M3" s="710"/>
      <c r="N3" s="711">
        <v>0.03</v>
      </c>
      <c r="O3" s="710"/>
      <c r="P3" s="711">
        <v>3.5000000000000003E-2</v>
      </c>
      <c r="Q3" s="710"/>
      <c r="R3" s="711">
        <v>6.5000000000000002E-2</v>
      </c>
      <c r="S3" s="710"/>
      <c r="T3" s="711">
        <v>0.1</v>
      </c>
      <c r="U3" s="764">
        <f>SUM(C3:T3)</f>
        <v>1.0000000000000002</v>
      </c>
      <c r="V3" s="713">
        <v>0.54400690933250961</v>
      </c>
    </row>
    <row r="4" spans="1:22" ht="30" customHeight="1" x14ac:dyDescent="0.25">
      <c r="A4" s="981" t="s">
        <v>2</v>
      </c>
      <c r="B4" s="983" t="s">
        <v>3</v>
      </c>
      <c r="C4" s="973" t="s">
        <v>127</v>
      </c>
      <c r="D4" s="974"/>
      <c r="E4" s="994" t="s">
        <v>116</v>
      </c>
      <c r="F4" s="995"/>
      <c r="G4" s="995"/>
      <c r="H4" s="996"/>
      <c r="I4" s="973" t="s">
        <v>117</v>
      </c>
      <c r="J4" s="974"/>
      <c r="K4" s="981" t="s">
        <v>118</v>
      </c>
      <c r="L4" s="993"/>
      <c r="M4" s="981" t="s">
        <v>119</v>
      </c>
      <c r="N4" s="993"/>
      <c r="O4" s="981" t="s">
        <v>170</v>
      </c>
      <c r="P4" s="993"/>
      <c r="Q4" s="981" t="s">
        <v>120</v>
      </c>
      <c r="R4" s="993"/>
      <c r="S4" s="981" t="s">
        <v>129</v>
      </c>
      <c r="T4" s="993"/>
      <c r="U4" s="975" t="s">
        <v>121</v>
      </c>
      <c r="V4" s="975" t="s">
        <v>122</v>
      </c>
    </row>
    <row r="5" spans="1:22" ht="15.75" thickBot="1" x14ac:dyDescent="0.3">
      <c r="A5" s="982"/>
      <c r="B5" s="984"/>
      <c r="C5" s="323" t="s">
        <v>28</v>
      </c>
      <c r="D5" s="324" t="s">
        <v>125</v>
      </c>
      <c r="E5" s="319" t="s">
        <v>123</v>
      </c>
      <c r="F5" s="320" t="s">
        <v>124</v>
      </c>
      <c r="G5" s="321" t="s">
        <v>28</v>
      </c>
      <c r="H5" s="322" t="s">
        <v>125</v>
      </c>
      <c r="I5" s="323" t="s">
        <v>28</v>
      </c>
      <c r="J5" s="324" t="s">
        <v>125</v>
      </c>
      <c r="K5" s="323" t="s">
        <v>28</v>
      </c>
      <c r="L5" s="324" t="s">
        <v>125</v>
      </c>
      <c r="M5" s="323" t="s">
        <v>28</v>
      </c>
      <c r="N5" s="324" t="s">
        <v>125</v>
      </c>
      <c r="O5" s="323" t="s">
        <v>28</v>
      </c>
      <c r="P5" s="324" t="s">
        <v>125</v>
      </c>
      <c r="Q5" s="323" t="s">
        <v>28</v>
      </c>
      <c r="R5" s="324" t="s">
        <v>125</v>
      </c>
      <c r="S5" s="323" t="s">
        <v>28</v>
      </c>
      <c r="T5" s="324" t="s">
        <v>125</v>
      </c>
      <c r="U5" s="976"/>
      <c r="V5" s="976"/>
    </row>
    <row r="6" spans="1:22" x14ac:dyDescent="0.25">
      <c r="A6" s="351">
        <v>11000</v>
      </c>
      <c r="B6" s="352" t="s">
        <v>4</v>
      </c>
      <c r="C6" s="794"/>
      <c r="D6" s="795">
        <f>D13</f>
        <v>0.31531728385383795</v>
      </c>
      <c r="E6" s="794"/>
      <c r="F6" s="796"/>
      <c r="G6" s="797"/>
      <c r="H6" s="795">
        <f>0.5*H13+0.3*H20+0.2*H27</f>
        <v>0.38912143227220652</v>
      </c>
      <c r="I6" s="794"/>
      <c r="J6" s="795">
        <f>J13</f>
        <v>0.34178061555132216</v>
      </c>
      <c r="K6" s="794"/>
      <c r="L6" s="798">
        <f>L13</f>
        <v>0.42241219628316085</v>
      </c>
      <c r="M6" s="794"/>
      <c r="N6" s="795">
        <f>N13</f>
        <v>7.9245373084003742E-2</v>
      </c>
      <c r="O6" s="794"/>
      <c r="P6" s="798">
        <f>P13</f>
        <v>0.64907899495788013</v>
      </c>
      <c r="Q6" s="794"/>
      <c r="R6" s="795">
        <f>0.5*R20+0.3*R27+0.2*R34</f>
        <v>0.32561639268841669</v>
      </c>
      <c r="S6" s="794"/>
      <c r="T6" s="795">
        <f t="shared" ref="T6:T10" si="0">0.5*T20+0.3*T27+0.2*T34</f>
        <v>0.38176017817653968</v>
      </c>
      <c r="U6" s="799">
        <f t="array" ref="U6">SUM($C$3:$T$3*C6:T6)</f>
        <v>0.37824223747648855</v>
      </c>
      <c r="V6" s="800">
        <f>U6*$V$3</f>
        <v>0.20576639058859766</v>
      </c>
    </row>
    <row r="7" spans="1:22" x14ac:dyDescent="0.25">
      <c r="A7" s="351">
        <v>14000</v>
      </c>
      <c r="B7" s="353" t="s">
        <v>7</v>
      </c>
      <c r="C7" s="801"/>
      <c r="D7" s="802">
        <f>D14</f>
        <v>0.25053465819966741</v>
      </c>
      <c r="E7" s="796"/>
      <c r="F7" s="796"/>
      <c r="G7" s="796"/>
      <c r="H7" s="803">
        <f>0.5*H14+0.3*H21+0.2*H28</f>
        <v>0.27588633057977852</v>
      </c>
      <c r="I7" s="801"/>
      <c r="J7" s="802">
        <f>J14</f>
        <v>0.2187380634977843</v>
      </c>
      <c r="K7" s="801"/>
      <c r="L7" s="803">
        <f>L14</f>
        <v>0.1925848491319562</v>
      </c>
      <c r="M7" s="801"/>
      <c r="N7" s="802">
        <f>N14</f>
        <v>4.1186218303805117E-2</v>
      </c>
      <c r="O7" s="801"/>
      <c r="P7" s="803">
        <f>P14</f>
        <v>0.20219126755775743</v>
      </c>
      <c r="Q7" s="801"/>
      <c r="R7" s="802">
        <f>0.5*R21+0.3*R28+0.2*R35</f>
        <v>0.23160027258695984</v>
      </c>
      <c r="S7" s="801"/>
      <c r="T7" s="802">
        <f t="shared" si="0"/>
        <v>0.25182161853081519</v>
      </c>
      <c r="U7" s="804">
        <f t="array" ref="U7">SUM($C$3:$T$3*C7:T7)</f>
        <v>0.22647291303173628</v>
      </c>
      <c r="V7" s="805">
        <f>U7*$V$3</f>
        <v>0.12320282946592509</v>
      </c>
    </row>
    <row r="8" spans="1:22" x14ac:dyDescent="0.25">
      <c r="A8" s="351">
        <v>15000</v>
      </c>
      <c r="B8" s="353" t="s">
        <v>8</v>
      </c>
      <c r="C8" s="801"/>
      <c r="D8" s="802">
        <f>D15</f>
        <v>0.1643848102622549</v>
      </c>
      <c r="E8" s="796"/>
      <c r="F8" s="796"/>
      <c r="G8" s="796"/>
      <c r="H8" s="803">
        <f>0.5*H15+0.3*H22+0.2*H29</f>
        <v>0.10279469524347778</v>
      </c>
      <c r="I8" s="801"/>
      <c r="J8" s="802">
        <f>J15</f>
        <v>0.15963375020562159</v>
      </c>
      <c r="K8" s="801"/>
      <c r="L8" s="803">
        <f>L15</f>
        <v>0.13054403872185519</v>
      </c>
      <c r="M8" s="801"/>
      <c r="N8" s="802">
        <f>N15</f>
        <v>7.2571693114492117E-2</v>
      </c>
      <c r="O8" s="801"/>
      <c r="P8" s="803">
        <f>P15</f>
        <v>7.2406690070638588E-2</v>
      </c>
      <c r="Q8" s="801"/>
      <c r="R8" s="802">
        <f>0.5*R22+0.3*R29+0.2*R36</f>
        <v>8.1401324828939373E-2</v>
      </c>
      <c r="S8" s="801"/>
      <c r="T8" s="802">
        <f t="shared" si="0"/>
        <v>0.15619138470303917</v>
      </c>
      <c r="U8" s="804">
        <f t="array" ref="U8">SUM($C$3:$T$3*C8:T8)</f>
        <v>0.12802075066011417</v>
      </c>
      <c r="V8" s="805">
        <f>U8*$V$3</f>
        <v>6.9644172897036546E-2</v>
      </c>
    </row>
    <row r="9" spans="1:22" x14ac:dyDescent="0.25">
      <c r="A9" s="351">
        <v>21000</v>
      </c>
      <c r="B9" s="353" t="s">
        <v>12</v>
      </c>
      <c r="C9" s="801"/>
      <c r="D9" s="802">
        <f>D16</f>
        <v>0.12971978114350791</v>
      </c>
      <c r="E9" s="796"/>
      <c r="F9" s="796"/>
      <c r="G9" s="796"/>
      <c r="H9" s="803">
        <f>0.5*H16+0.3*H23+0.2*H30</f>
        <v>0.14452476893974869</v>
      </c>
      <c r="I9" s="801"/>
      <c r="J9" s="802">
        <f>J16</f>
        <v>0.14887225584623062</v>
      </c>
      <c r="K9" s="801"/>
      <c r="L9" s="803">
        <f>L16</f>
        <v>0.15138942833515498</v>
      </c>
      <c r="M9" s="801"/>
      <c r="N9" s="802">
        <f>N16</f>
        <v>0.40564027812356918</v>
      </c>
      <c r="O9" s="801"/>
      <c r="P9" s="803">
        <f>P16</f>
        <v>5.9259479539729348E-2</v>
      </c>
      <c r="Q9" s="801"/>
      <c r="R9" s="802">
        <f>0.5*R23+0.3*R30+0.2*R37</f>
        <v>0.20786792219031008</v>
      </c>
      <c r="S9" s="801"/>
      <c r="T9" s="802">
        <f t="shared" si="0"/>
        <v>0.14498614109284771</v>
      </c>
      <c r="U9" s="804">
        <f t="array" ref="U9">SUM($C$3:$T$3*C9:T9)</f>
        <v>0.15381078960269298</v>
      </c>
      <c r="V9" s="805">
        <f>U9*$V$3</f>
        <v>8.3674132273753907E-2</v>
      </c>
    </row>
    <row r="10" spans="1:22" ht="15.75" thickBot="1" x14ac:dyDescent="0.3">
      <c r="A10" s="354">
        <v>26000</v>
      </c>
      <c r="B10" s="355" t="s">
        <v>17</v>
      </c>
      <c r="C10" s="801"/>
      <c r="D10" s="802">
        <f>D17</f>
        <v>0.14004346654073174</v>
      </c>
      <c r="E10" s="806"/>
      <c r="F10" s="796"/>
      <c r="G10" s="807"/>
      <c r="H10" s="808">
        <f>0.5*H17+0.3*H24+0.2*H31</f>
        <v>8.7672772964788426E-2</v>
      </c>
      <c r="I10" s="801"/>
      <c r="J10" s="802">
        <f>J17</f>
        <v>0.13097531489904146</v>
      </c>
      <c r="K10" s="801"/>
      <c r="L10" s="803">
        <f>L17</f>
        <v>0.10306948752787275</v>
      </c>
      <c r="M10" s="801"/>
      <c r="N10" s="802">
        <f>N17</f>
        <v>0.40135643737412985</v>
      </c>
      <c r="O10" s="801"/>
      <c r="P10" s="803">
        <f>P17</f>
        <v>1.7063567873994465E-2</v>
      </c>
      <c r="Q10" s="801"/>
      <c r="R10" s="802">
        <f>0.5*R24+0.3*R31+0.2*R38</f>
        <v>0.15351408770537409</v>
      </c>
      <c r="S10" s="801"/>
      <c r="T10" s="802">
        <f t="shared" si="0"/>
        <v>6.5240677496758187E-2</v>
      </c>
      <c r="U10" s="804">
        <f t="array" ref="U10">SUM($C$3:$T$3*C10:T10)</f>
        <v>0.11345330922896801</v>
      </c>
      <c r="V10" s="805">
        <f>U10*$V$3</f>
        <v>6.1719384107196379E-2</v>
      </c>
    </row>
    <row r="11" spans="1:22" ht="15.75" thickBot="1" x14ac:dyDescent="0.3">
      <c r="A11" s="997" t="s">
        <v>126</v>
      </c>
      <c r="B11" s="998"/>
      <c r="C11" s="809"/>
      <c r="D11" s="810">
        <f>SUM(D6:D10)</f>
        <v>0.99999999999999989</v>
      </c>
      <c r="E11" s="811"/>
      <c r="F11" s="811"/>
      <c r="G11" s="811"/>
      <c r="H11" s="812">
        <f>SUM(H6:H10)</f>
        <v>0.99999999999999978</v>
      </c>
      <c r="I11" s="809"/>
      <c r="J11" s="810">
        <f>SUM(J6:J10)</f>
        <v>1.0000000000000002</v>
      </c>
      <c r="K11" s="809"/>
      <c r="L11" s="812">
        <f>SUM(L6:L10)</f>
        <v>0.99999999999999989</v>
      </c>
      <c r="M11" s="809"/>
      <c r="N11" s="810">
        <f>SUM(N6:N10)</f>
        <v>1</v>
      </c>
      <c r="O11" s="809"/>
      <c r="P11" s="812">
        <f>SUM(P6:P10)</f>
        <v>0.99999999999999989</v>
      </c>
      <c r="Q11" s="809"/>
      <c r="R11" s="810">
        <f>SUM(R6:R10)</f>
        <v>1</v>
      </c>
      <c r="S11" s="809"/>
      <c r="T11" s="810">
        <f>SUM(T6:T10)</f>
        <v>1</v>
      </c>
      <c r="U11" s="813">
        <f>SUM(U6:U10)</f>
        <v>1</v>
      </c>
      <c r="V11" s="814">
        <f>SUM(V6:V10)</f>
        <v>0.54400690933250961</v>
      </c>
    </row>
    <row r="12" spans="1:22" ht="15.75" thickBot="1" x14ac:dyDescent="0.3">
      <c r="C12" s="11"/>
      <c r="E12" s="11"/>
      <c r="F12" s="11"/>
      <c r="G12" s="11"/>
      <c r="I12" s="11"/>
      <c r="K12" s="11"/>
      <c r="M12" s="11"/>
      <c r="O12" s="11"/>
      <c r="Q12" s="11"/>
      <c r="S12" s="11"/>
    </row>
    <row r="13" spans="1:22" x14ac:dyDescent="0.25">
      <c r="A13" s="356">
        <v>11000</v>
      </c>
      <c r="B13" s="352" t="s">
        <v>4</v>
      </c>
      <c r="C13" s="794">
        <v>23364.241189263263</v>
      </c>
      <c r="D13" s="798">
        <f>C13/$C$18</f>
        <v>0.31531728385383795</v>
      </c>
      <c r="E13" s="794">
        <v>303341</v>
      </c>
      <c r="F13" s="797">
        <v>474404</v>
      </c>
      <c r="G13" s="797">
        <f>E13+F13</f>
        <v>777745</v>
      </c>
      <c r="H13" s="795">
        <f>G13/$G$18</f>
        <v>0.39230101471812912</v>
      </c>
      <c r="I13" s="794">
        <v>11213.184722575628</v>
      </c>
      <c r="J13" s="795">
        <f>I13/$I$18</f>
        <v>0.34178061555132216</v>
      </c>
      <c r="K13" s="794"/>
      <c r="L13" s="798">
        <v>0.42241219628316085</v>
      </c>
      <c r="M13" s="794">
        <v>14891.340000000002</v>
      </c>
      <c r="N13" s="795">
        <f>M13/$M$18</f>
        <v>7.9245373084003742E-2</v>
      </c>
      <c r="O13" s="794"/>
      <c r="P13" s="795">
        <v>0.64907899495788013</v>
      </c>
      <c r="Q13" s="11"/>
      <c r="S13" s="11"/>
    </row>
    <row r="14" spans="1:22" x14ac:dyDescent="0.25">
      <c r="A14" s="351">
        <v>14000</v>
      </c>
      <c r="B14" s="353" t="s">
        <v>7</v>
      </c>
      <c r="C14" s="801">
        <v>18564.006732850128</v>
      </c>
      <c r="D14" s="803">
        <f>C14/$C$18</f>
        <v>0.25053465819966741</v>
      </c>
      <c r="E14" s="801">
        <v>202606</v>
      </c>
      <c r="F14" s="796">
        <v>356450</v>
      </c>
      <c r="G14" s="796">
        <f>E14+F14</f>
        <v>559056</v>
      </c>
      <c r="H14" s="802">
        <f>G14/$G$18</f>
        <v>0.28199247321970361</v>
      </c>
      <c r="I14" s="801">
        <v>7176.3880110714608</v>
      </c>
      <c r="J14" s="802">
        <f>I14/$I$18</f>
        <v>0.2187380634977843</v>
      </c>
      <c r="K14" s="801"/>
      <c r="L14" s="803">
        <v>0.1925848491319562</v>
      </c>
      <c r="M14" s="801">
        <v>7739.4800000000005</v>
      </c>
      <c r="N14" s="802">
        <f>M14/$M$18</f>
        <v>4.1186218303805117E-2</v>
      </c>
      <c r="O14" s="801"/>
      <c r="P14" s="802">
        <v>0.20219126755775743</v>
      </c>
      <c r="Q14" s="11"/>
      <c r="S14" s="11"/>
    </row>
    <row r="15" spans="1:22" x14ac:dyDescent="0.25">
      <c r="A15" s="351">
        <v>15000</v>
      </c>
      <c r="B15" s="353" t="s">
        <v>8</v>
      </c>
      <c r="C15" s="801">
        <v>12180.513252800094</v>
      </c>
      <c r="D15" s="803">
        <f>C15/$C$18</f>
        <v>0.1643848102622549</v>
      </c>
      <c r="E15" s="801">
        <v>86011</v>
      </c>
      <c r="F15" s="796">
        <v>108820</v>
      </c>
      <c r="G15" s="796">
        <f>E15+F15</f>
        <v>194831</v>
      </c>
      <c r="H15" s="802">
        <f>G15/$G$18</f>
        <v>9.8274368846534288E-2</v>
      </c>
      <c r="I15" s="801">
        <v>5237.2856960471509</v>
      </c>
      <c r="J15" s="802">
        <f>I15/$I$18</f>
        <v>0.15963375020562159</v>
      </c>
      <c r="K15" s="801"/>
      <c r="L15" s="803">
        <v>0.13054403872185519</v>
      </c>
      <c r="M15" s="801">
        <v>13637.260000000002</v>
      </c>
      <c r="N15" s="802">
        <f>M15/$M$18</f>
        <v>7.2571693114492117E-2</v>
      </c>
      <c r="O15" s="801"/>
      <c r="P15" s="802">
        <v>7.2406690070638588E-2</v>
      </c>
      <c r="Q15" s="11"/>
      <c r="S15" s="11"/>
    </row>
    <row r="16" spans="1:22" x14ac:dyDescent="0.25">
      <c r="A16" s="351">
        <v>21000</v>
      </c>
      <c r="B16" s="353" t="s">
        <v>12</v>
      </c>
      <c r="C16" s="801">
        <v>9611.9191964759575</v>
      </c>
      <c r="D16" s="803">
        <f>C16/$C$18</f>
        <v>0.12971978114350791</v>
      </c>
      <c r="E16" s="801">
        <v>73097</v>
      </c>
      <c r="F16" s="796">
        <v>210609</v>
      </c>
      <c r="G16" s="796">
        <f>E16+F16</f>
        <v>283706</v>
      </c>
      <c r="H16" s="802">
        <f>G16/$G$18</f>
        <v>0.14310365438751974</v>
      </c>
      <c r="I16" s="801">
        <v>4884.2211316681723</v>
      </c>
      <c r="J16" s="802">
        <f>I16/$I$18</f>
        <v>0.14887225584623062</v>
      </c>
      <c r="K16" s="801"/>
      <c r="L16" s="803">
        <v>0.15138942833515498</v>
      </c>
      <c r="M16" s="801">
        <v>76225.614999999991</v>
      </c>
      <c r="N16" s="802">
        <f>M16/$M$18</f>
        <v>0.40564027812356918</v>
      </c>
      <c r="O16" s="801"/>
      <c r="P16" s="802">
        <v>5.9259479539729348E-2</v>
      </c>
      <c r="Q16" s="11"/>
      <c r="S16" s="11"/>
    </row>
    <row r="17" spans="1:20" ht="15.75" thickBot="1" x14ac:dyDescent="0.3">
      <c r="A17" s="354">
        <v>26000</v>
      </c>
      <c r="B17" s="355" t="s">
        <v>17</v>
      </c>
      <c r="C17" s="801">
        <v>10376.879089047596</v>
      </c>
      <c r="D17" s="803">
        <f>C17/$C$18</f>
        <v>0.14004346654073174</v>
      </c>
      <c r="E17" s="806">
        <v>59898</v>
      </c>
      <c r="F17" s="796">
        <v>107285</v>
      </c>
      <c r="G17" s="807">
        <f>E17+F17</f>
        <v>167183</v>
      </c>
      <c r="H17" s="808">
        <f>G17/$G$18</f>
        <v>8.4328488828113293E-2</v>
      </c>
      <c r="I17" s="801">
        <v>4297.0558692786062</v>
      </c>
      <c r="J17" s="802">
        <f>I17/$I$18</f>
        <v>0.13097531489904146</v>
      </c>
      <c r="K17" s="801"/>
      <c r="L17" s="803">
        <v>0.10306948752787275</v>
      </c>
      <c r="M17" s="801">
        <v>75420.62000000001</v>
      </c>
      <c r="N17" s="802">
        <f>M17/$M$18</f>
        <v>0.40135643737412985</v>
      </c>
      <c r="O17" s="801"/>
      <c r="P17" s="802">
        <v>1.7063567873994465E-2</v>
      </c>
      <c r="Q17" s="11"/>
      <c r="S17" s="11"/>
    </row>
    <row r="18" spans="1:20" ht="15.75" thickBot="1" x14ac:dyDescent="0.3">
      <c r="A18" s="357">
        <v>2021</v>
      </c>
      <c r="B18" s="358" t="s">
        <v>126</v>
      </c>
      <c r="C18" s="809">
        <f>SUM(C13:C17)</f>
        <v>74097.559460437042</v>
      </c>
      <c r="D18" s="812">
        <f>SUM(D13:D17)</f>
        <v>0.99999999999999989</v>
      </c>
      <c r="E18" s="809">
        <f>SUM(E13:E17)</f>
        <v>724953</v>
      </c>
      <c r="F18" s="811">
        <f>SUM(F13:F17)</f>
        <v>1257568</v>
      </c>
      <c r="G18" s="811">
        <f>SUM(G13:G17)</f>
        <v>1982521</v>
      </c>
      <c r="H18" s="810">
        <f t="shared" ref="H18:P18" si="1">SUM(H13:H17)</f>
        <v>1</v>
      </c>
      <c r="I18" s="809">
        <f t="shared" si="1"/>
        <v>32808.135430641014</v>
      </c>
      <c r="J18" s="810">
        <f t="shared" si="1"/>
        <v>1.0000000000000002</v>
      </c>
      <c r="K18" s="809">
        <f t="shared" si="1"/>
        <v>0</v>
      </c>
      <c r="L18" s="812">
        <f t="shared" si="1"/>
        <v>0.99999999999999989</v>
      </c>
      <c r="M18" s="809">
        <f t="shared" si="1"/>
        <v>187914.315</v>
      </c>
      <c r="N18" s="810">
        <f t="shared" si="1"/>
        <v>1</v>
      </c>
      <c r="O18" s="809"/>
      <c r="P18" s="810">
        <f t="shared" si="1"/>
        <v>0.99999999999999989</v>
      </c>
      <c r="Q18" s="11"/>
      <c r="S18" s="11"/>
    </row>
    <row r="19" spans="1:20" ht="15.75" thickBot="1" x14ac:dyDescent="0.3">
      <c r="C19" s="11"/>
      <c r="E19" s="11"/>
      <c r="F19" s="11"/>
      <c r="G19" s="11"/>
      <c r="I19" s="11"/>
      <c r="K19" s="11"/>
      <c r="M19" s="11"/>
      <c r="O19" s="11"/>
      <c r="Q19" s="11"/>
      <c r="S19" s="11"/>
    </row>
    <row r="20" spans="1:20" x14ac:dyDescent="0.25">
      <c r="A20" s="356">
        <v>11000</v>
      </c>
      <c r="B20" s="352" t="s">
        <v>4</v>
      </c>
      <c r="E20" s="794">
        <v>206898</v>
      </c>
      <c r="F20" s="797">
        <v>260779</v>
      </c>
      <c r="G20" s="797">
        <f>E20+F20</f>
        <v>467677</v>
      </c>
      <c r="H20" s="795">
        <f>G20/$G$25</f>
        <v>0.37970997077948704</v>
      </c>
      <c r="O20" s="11"/>
      <c r="Q20" s="794">
        <v>1988607.4809800002</v>
      </c>
      <c r="R20" s="795">
        <f>Q20/$Q$25</f>
        <v>0.32789573225602947</v>
      </c>
      <c r="S20" s="794">
        <v>702.62800000000016</v>
      </c>
      <c r="T20" s="795">
        <f>S20/$S$25</f>
        <v>0.38654051989113486</v>
      </c>
    </row>
    <row r="21" spans="1:20" x14ac:dyDescent="0.25">
      <c r="A21" s="351">
        <v>14000</v>
      </c>
      <c r="B21" s="353" t="s">
        <v>7</v>
      </c>
      <c r="E21" s="801">
        <v>106230</v>
      </c>
      <c r="F21" s="796">
        <v>241328</v>
      </c>
      <c r="G21" s="796">
        <f>E21+F21</f>
        <v>347558</v>
      </c>
      <c r="H21" s="802">
        <f>G21/$G$25</f>
        <v>0.28218458043516564</v>
      </c>
      <c r="N21" s="875"/>
      <c r="Q21" s="801">
        <v>1432602</v>
      </c>
      <c r="R21" s="802">
        <f>Q21/$Q$25</f>
        <v>0.23621759764775654</v>
      </c>
      <c r="S21" s="801">
        <v>457.74239999999992</v>
      </c>
      <c r="T21" s="802">
        <f>S21/$S$25</f>
        <v>0.25182028793645533</v>
      </c>
    </row>
    <row r="22" spans="1:20" x14ac:dyDescent="0.25">
      <c r="A22" s="351">
        <v>15000</v>
      </c>
      <c r="B22" s="353" t="s">
        <v>8</v>
      </c>
      <c r="E22" s="801">
        <v>54090</v>
      </c>
      <c r="F22" s="796">
        <v>70290</v>
      </c>
      <c r="G22" s="796">
        <f>E22+F22</f>
        <v>124380</v>
      </c>
      <c r="H22" s="802">
        <f>G22/$G$25</f>
        <v>0.10098492370921083</v>
      </c>
      <c r="N22" s="875"/>
      <c r="Q22" s="801">
        <v>470810</v>
      </c>
      <c r="R22" s="802">
        <f>Q22/$Q$25</f>
        <v>7.7630498316029334E-2</v>
      </c>
      <c r="S22" s="801">
        <v>269.2</v>
      </c>
      <c r="T22" s="802">
        <f>S22/$S$25</f>
        <v>0.14809644357283439</v>
      </c>
    </row>
    <row r="23" spans="1:20" x14ac:dyDescent="0.25">
      <c r="A23" s="351">
        <v>21000</v>
      </c>
      <c r="B23" s="353" t="s">
        <v>12</v>
      </c>
      <c r="E23" s="801">
        <v>36722</v>
      </c>
      <c r="F23" s="796">
        <v>144097</v>
      </c>
      <c r="G23" s="796">
        <f>E23+F23</f>
        <v>180819</v>
      </c>
      <c r="H23" s="802">
        <f>G23/$G$25</f>
        <v>0.14680811159491713</v>
      </c>
      <c r="N23" s="875"/>
      <c r="Q23" s="801">
        <v>1257696.12684</v>
      </c>
      <c r="R23" s="802">
        <f>Q23/$Q$25</f>
        <v>0.20737787442222816</v>
      </c>
      <c r="S23" s="801">
        <v>265.3</v>
      </c>
      <c r="T23" s="802">
        <f>S23/$S$25</f>
        <v>0.14595091560131118</v>
      </c>
    </row>
    <row r="24" spans="1:20" ht="15.75" thickBot="1" x14ac:dyDescent="0.3">
      <c r="A24" s="354">
        <v>26000</v>
      </c>
      <c r="B24" s="355" t="s">
        <v>17</v>
      </c>
      <c r="E24" s="806">
        <v>46540</v>
      </c>
      <c r="F24" s="796">
        <v>64695</v>
      </c>
      <c r="G24" s="807">
        <f>E24+F24</f>
        <v>111235</v>
      </c>
      <c r="H24" s="808">
        <f>G24/$G$25</f>
        <v>9.0312413481219392E-2</v>
      </c>
      <c r="N24" s="875"/>
      <c r="Q24" s="801">
        <v>915040</v>
      </c>
      <c r="R24" s="802">
        <f>Q24/$Q$25</f>
        <v>0.15087829735795646</v>
      </c>
      <c r="S24" s="801">
        <v>122.86400000000002</v>
      </c>
      <c r="T24" s="802">
        <f>S24/$S$25</f>
        <v>6.7591832998264226E-2</v>
      </c>
    </row>
    <row r="25" spans="1:20" ht="15.75" thickBot="1" x14ac:dyDescent="0.3">
      <c r="A25" s="357">
        <v>2020</v>
      </c>
      <c r="B25" s="358" t="s">
        <v>126</v>
      </c>
      <c r="E25" s="809">
        <f>SUM(E20:E24)</f>
        <v>450480</v>
      </c>
      <c r="F25" s="811">
        <f>SUM(F20:F24)</f>
        <v>781189</v>
      </c>
      <c r="G25" s="811">
        <f>SUM(G20:G24)</f>
        <v>1231669</v>
      </c>
      <c r="H25" s="810">
        <f>SUM(H20:H24)</f>
        <v>1</v>
      </c>
      <c r="N25" s="875"/>
      <c r="Q25" s="809">
        <f>SUM(Q20:Q24)</f>
        <v>6064755.6078200005</v>
      </c>
      <c r="R25" s="810">
        <f>SUM(R20:R24)</f>
        <v>0.99999999999999989</v>
      </c>
      <c r="S25" s="809">
        <f>SUM(S20:S24)</f>
        <v>1817.7344000000001</v>
      </c>
      <c r="T25" s="810">
        <f>SUM(T20:T24)</f>
        <v>0.99999999999999989</v>
      </c>
    </row>
    <row r="26" spans="1:20" ht="15.75" thickBot="1" x14ac:dyDescent="0.3">
      <c r="E26" s="11"/>
      <c r="F26" s="11"/>
      <c r="G26" s="11"/>
      <c r="Q26" s="11"/>
      <c r="S26" s="11"/>
    </row>
    <row r="27" spans="1:20" x14ac:dyDescent="0.25">
      <c r="A27" s="356">
        <v>11000</v>
      </c>
      <c r="B27" s="352" t="s">
        <v>4</v>
      </c>
      <c r="E27" s="794">
        <v>239697</v>
      </c>
      <c r="F27" s="797">
        <v>504503</v>
      </c>
      <c r="G27" s="797">
        <f>E27+F27</f>
        <v>744200</v>
      </c>
      <c r="H27" s="795">
        <f>G27/$G$32</f>
        <v>0.39528966839647944</v>
      </c>
      <c r="Q27" s="794">
        <v>1949248.00535</v>
      </c>
      <c r="R27" s="795">
        <f>Q27/$Q$32</f>
        <v>0.32427818315465629</v>
      </c>
      <c r="S27" s="794">
        <v>632.68391666666662</v>
      </c>
      <c r="T27" s="795">
        <f>S27/$S$32</f>
        <v>0.37437207970495623</v>
      </c>
    </row>
    <row r="28" spans="1:20" x14ac:dyDescent="0.25">
      <c r="A28" s="351">
        <v>14000</v>
      </c>
      <c r="B28" s="353" t="s">
        <v>7</v>
      </c>
      <c r="E28" s="801">
        <v>174541</v>
      </c>
      <c r="F28" s="796">
        <v>298336</v>
      </c>
      <c r="G28" s="796">
        <f>E28+F28</f>
        <v>472877</v>
      </c>
      <c r="H28" s="802">
        <f>G28/$G$32</f>
        <v>0.25117359919688526</v>
      </c>
      <c r="Q28" s="801">
        <v>1404502</v>
      </c>
      <c r="R28" s="802">
        <f>Q28/$Q$32</f>
        <v>0.23365387859678849</v>
      </c>
      <c r="S28" s="801">
        <v>424.29000000000013</v>
      </c>
      <c r="T28" s="802">
        <f>S28/$S$32</f>
        <v>0.25106111521672042</v>
      </c>
    </row>
    <row r="29" spans="1:20" x14ac:dyDescent="0.25">
      <c r="A29" s="351">
        <v>15000</v>
      </c>
      <c r="B29" s="353" t="s">
        <v>8</v>
      </c>
      <c r="E29" s="801">
        <v>101022</v>
      </c>
      <c r="F29" s="796">
        <v>118893</v>
      </c>
      <c r="G29" s="796">
        <f>E29+F29</f>
        <v>219915</v>
      </c>
      <c r="H29" s="802">
        <f>G29/$G$32</f>
        <v>0.11681016853723701</v>
      </c>
      <c r="L29" s="874"/>
      <c r="Q29" s="801">
        <v>480879</v>
      </c>
      <c r="R29" s="802">
        <f>Q29/$Q$32</f>
        <v>7.9999347445389932E-2</v>
      </c>
      <c r="S29" s="801">
        <v>269.108</v>
      </c>
      <c r="T29" s="802">
        <f>S29/$S$32</f>
        <v>0.15923673570845692</v>
      </c>
    </row>
    <row r="30" spans="1:20" x14ac:dyDescent="0.25">
      <c r="A30" s="351">
        <v>21000</v>
      </c>
      <c r="B30" s="353" t="s">
        <v>12</v>
      </c>
      <c r="E30" s="801">
        <v>67120</v>
      </c>
      <c r="F30" s="796">
        <v>205213</v>
      </c>
      <c r="G30" s="796">
        <f>E30+F30</f>
        <v>272333</v>
      </c>
      <c r="H30" s="802">
        <f>G30/$G$32</f>
        <v>0.14465254133756844</v>
      </c>
      <c r="Q30" s="801">
        <v>1231194.0205700002</v>
      </c>
      <c r="R30" s="802">
        <f>Q30/$Q$32</f>
        <v>0.2048222488906066</v>
      </c>
      <c r="S30" s="801">
        <v>251.17000000000002</v>
      </c>
      <c r="T30" s="802">
        <f>S30/$S$32</f>
        <v>0.14862245235330471</v>
      </c>
    </row>
    <row r="31" spans="1:20" ht="15.75" thickBot="1" x14ac:dyDescent="0.3">
      <c r="A31" s="354">
        <v>26000</v>
      </c>
      <c r="B31" s="355" t="s">
        <v>17</v>
      </c>
      <c r="E31" s="806">
        <v>71297</v>
      </c>
      <c r="F31" s="796">
        <v>102048</v>
      </c>
      <c r="G31" s="807">
        <f>E31+F31</f>
        <v>173345</v>
      </c>
      <c r="H31" s="808">
        <f>G31/$G$32</f>
        <v>9.2074022531829794E-2</v>
      </c>
      <c r="Q31" s="801">
        <v>945213.50569999998</v>
      </c>
      <c r="R31" s="802">
        <f>Q31/$Q$32</f>
        <v>0.15724634191255879</v>
      </c>
      <c r="S31" s="801">
        <v>112.735</v>
      </c>
      <c r="T31" s="802">
        <f>S31/$S$32</f>
        <v>6.6707617016561707E-2</v>
      </c>
    </row>
    <row r="32" spans="1:20" ht="15.75" thickBot="1" x14ac:dyDescent="0.3">
      <c r="A32" s="357">
        <v>2019</v>
      </c>
      <c r="B32" s="358" t="s">
        <v>126</v>
      </c>
      <c r="E32" s="809">
        <f>SUM(E27:E31)</f>
        <v>653677</v>
      </c>
      <c r="F32" s="811">
        <f>SUM(F27:F31)</f>
        <v>1228993</v>
      </c>
      <c r="G32" s="811">
        <f>SUM(G27:G31)</f>
        <v>1882670</v>
      </c>
      <c r="H32" s="810">
        <f>SUM(H27:H31)</f>
        <v>1</v>
      </c>
      <c r="Q32" s="809">
        <f>SUM(Q27:Q31)</f>
        <v>6011036.5316199996</v>
      </c>
      <c r="R32" s="810">
        <f>SUM(R27:R31)</f>
        <v>1</v>
      </c>
      <c r="S32" s="809">
        <f>SUM(S27:S31)</f>
        <v>1689.9869166666667</v>
      </c>
      <c r="T32" s="810">
        <f>SUM(T27:T31)</f>
        <v>1.0000000000000002</v>
      </c>
    </row>
    <row r="33" spans="1:20" ht="15.75" thickBot="1" x14ac:dyDescent="0.3">
      <c r="E33" s="11"/>
      <c r="F33" s="11"/>
      <c r="G33" s="11"/>
      <c r="Q33" s="11"/>
      <c r="S33" s="11"/>
    </row>
    <row r="34" spans="1:20" x14ac:dyDescent="0.25">
      <c r="A34" s="356">
        <v>11000</v>
      </c>
      <c r="B34" s="352" t="s">
        <v>4</v>
      </c>
      <c r="Q34" s="794">
        <v>2023529.9233599999</v>
      </c>
      <c r="R34" s="795">
        <f>Q34/$Q$39</f>
        <v>0.32192535807002526</v>
      </c>
      <c r="S34" s="794">
        <v>594.42183333333332</v>
      </c>
      <c r="T34" s="795">
        <f>S34/$S$39</f>
        <v>0.3808914715974267</v>
      </c>
    </row>
    <row r="35" spans="1:20" x14ac:dyDescent="0.25">
      <c r="A35" s="351">
        <v>14000</v>
      </c>
      <c r="B35" s="353" t="s">
        <v>7</v>
      </c>
      <c r="Q35" s="801">
        <v>1363852</v>
      </c>
      <c r="R35" s="802">
        <f>Q35/$Q$39</f>
        <v>0.21697655092022505</v>
      </c>
      <c r="S35" s="801">
        <v>394.77999999999986</v>
      </c>
      <c r="T35" s="802">
        <f t="shared" ref="T35:T38" si="2">S35/$S$39</f>
        <v>0.25296569998785723</v>
      </c>
    </row>
    <row r="36" spans="1:20" x14ac:dyDescent="0.25">
      <c r="A36" s="351">
        <v>15000</v>
      </c>
      <c r="B36" s="353" t="s">
        <v>8</v>
      </c>
      <c r="Q36" s="801">
        <v>584139.70000000007</v>
      </c>
      <c r="R36" s="802">
        <f>Q36/$Q$39</f>
        <v>9.2931357186538568E-2</v>
      </c>
      <c r="S36" s="801">
        <v>268.20699999999994</v>
      </c>
      <c r="T36" s="802">
        <f t="shared" si="2"/>
        <v>0.17186071102042461</v>
      </c>
    </row>
    <row r="37" spans="1:20" x14ac:dyDescent="0.25">
      <c r="A37" s="351">
        <v>21000</v>
      </c>
      <c r="B37" s="353" t="s">
        <v>12</v>
      </c>
      <c r="Q37" s="801">
        <v>1343014.8704200005</v>
      </c>
      <c r="R37" s="802">
        <f>Q37/$Q$39</f>
        <v>0.21366155156007005</v>
      </c>
      <c r="S37" s="801">
        <v>213.98999999999998</v>
      </c>
      <c r="T37" s="802">
        <f t="shared" si="2"/>
        <v>0.13711973793100354</v>
      </c>
    </row>
    <row r="38" spans="1:20" ht="15.75" thickBot="1" x14ac:dyDescent="0.3">
      <c r="A38" s="354">
        <v>26000</v>
      </c>
      <c r="B38" s="355" t="s">
        <v>17</v>
      </c>
      <c r="Q38" s="801">
        <v>971175</v>
      </c>
      <c r="R38" s="802">
        <f>Q38/$Q$39</f>
        <v>0.15450518226314114</v>
      </c>
      <c r="S38" s="801">
        <v>89.207999999999998</v>
      </c>
      <c r="T38" s="802">
        <f t="shared" si="2"/>
        <v>5.7162379463287838E-2</v>
      </c>
    </row>
    <row r="39" spans="1:20" ht="15.75" thickBot="1" x14ac:dyDescent="0.3">
      <c r="A39" s="357">
        <v>2018</v>
      </c>
      <c r="B39" s="358" t="s">
        <v>126</v>
      </c>
      <c r="Q39" s="809">
        <f>SUM(Q34:Q38)</f>
        <v>6285711.4937800001</v>
      </c>
      <c r="R39" s="810">
        <f>SUM(R34:R38)</f>
        <v>1</v>
      </c>
      <c r="S39" s="809">
        <f>SUM(S34:S38)</f>
        <v>1560.6068333333333</v>
      </c>
      <c r="T39" s="810">
        <f>SUM(T34:T38)</f>
        <v>0.99999999999999989</v>
      </c>
    </row>
    <row r="40" spans="1:20" x14ac:dyDescent="0.25">
      <c r="Q40" s="11"/>
    </row>
    <row r="41" spans="1:20" x14ac:dyDescent="0.25">
      <c r="A41" s="618" t="s">
        <v>269</v>
      </c>
    </row>
    <row r="42" spans="1:20" x14ac:dyDescent="0.25">
      <c r="A42" s="38"/>
    </row>
  </sheetData>
  <mergeCells count="14">
    <mergeCell ref="A3:B3"/>
    <mergeCell ref="A4:A5"/>
    <mergeCell ref="B4:B5"/>
    <mergeCell ref="C4:D4"/>
    <mergeCell ref="E4:H4"/>
    <mergeCell ref="V4:V5"/>
    <mergeCell ref="A11:B11"/>
    <mergeCell ref="K4:L4"/>
    <mergeCell ref="M4:N4"/>
    <mergeCell ref="O4:P4"/>
    <mergeCell ref="Q4:R4"/>
    <mergeCell ref="S4:T4"/>
    <mergeCell ref="U4:U5"/>
    <mergeCell ref="I4:J4"/>
  </mergeCells>
  <hyperlinks>
    <hyperlink ref="A41" location="'0 Seznam'!A1" display="Seznam" xr:uid="{FDABC279-2734-4B64-89A7-F5CA3F876EDB}"/>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96D3-CA0B-4F43-AF55-BBDD8E9E48FA}">
  <sheetPr>
    <tabColor rgb="FFFF0000"/>
  </sheetPr>
  <dimension ref="A1:F17"/>
  <sheetViews>
    <sheetView zoomScale="85" zoomScaleNormal="85" workbookViewId="0">
      <selection activeCell="B2" sqref="B2"/>
    </sheetView>
  </sheetViews>
  <sheetFormatPr defaultRowHeight="15" x14ac:dyDescent="0.25"/>
  <cols>
    <col min="2" max="2" width="40.5703125" customWidth="1"/>
    <col min="3" max="3" width="37.140625" customWidth="1"/>
    <col min="4" max="5" width="26.28515625" customWidth="1"/>
    <col min="6" max="6" width="37.42578125" customWidth="1"/>
  </cols>
  <sheetData>
    <row r="1" spans="1:6" ht="27.75" x14ac:dyDescent="0.25">
      <c r="A1" s="316" t="s">
        <v>216</v>
      </c>
    </row>
    <row r="2" spans="1:6" ht="15.75" customHeight="1" x14ac:dyDescent="0.25">
      <c r="A2" s="316"/>
    </row>
    <row r="3" spans="1:6" ht="15.75" customHeight="1" x14ac:dyDescent="0.25">
      <c r="A3" s="316"/>
      <c r="B3" s="528" t="s">
        <v>311</v>
      </c>
      <c r="C3" s="548">
        <v>600000000</v>
      </c>
    </row>
    <row r="4" spans="1:6" ht="15.75" thickBot="1" x14ac:dyDescent="0.3"/>
    <row r="5" spans="1:6" ht="15.75" thickBot="1" x14ac:dyDescent="0.3">
      <c r="A5" s="542" t="s">
        <v>2</v>
      </c>
      <c r="B5" s="543" t="s">
        <v>3</v>
      </c>
      <c r="C5" s="541" t="s">
        <v>141</v>
      </c>
      <c r="D5" s="543" t="s">
        <v>29</v>
      </c>
      <c r="E5" s="541" t="s">
        <v>277</v>
      </c>
    </row>
    <row r="6" spans="1:6" x14ac:dyDescent="0.25">
      <c r="A6" s="29">
        <v>11000</v>
      </c>
      <c r="B6" s="544" t="s">
        <v>4</v>
      </c>
      <c r="C6" s="545" t="s">
        <v>217</v>
      </c>
      <c r="D6" s="646">
        <v>0.222119161246212</v>
      </c>
      <c r="E6" s="649">
        <f>ROUND(D6*$C$3,0)</f>
        <v>133271497</v>
      </c>
      <c r="F6" s="642"/>
    </row>
    <row r="7" spans="1:6" x14ac:dyDescent="0.25">
      <c r="A7" s="28">
        <v>11000</v>
      </c>
      <c r="B7" s="546" t="s">
        <v>4</v>
      </c>
      <c r="C7" s="547" t="s">
        <v>218</v>
      </c>
      <c r="D7" s="647">
        <v>0.10049859404671686</v>
      </c>
      <c r="E7" s="650">
        <f t="shared" ref="E7:E13" si="0">ROUND(D7*$C$3,0)</f>
        <v>60299156</v>
      </c>
      <c r="F7" s="643"/>
    </row>
    <row r="8" spans="1:6" x14ac:dyDescent="0.25">
      <c r="A8" s="28">
        <v>11000</v>
      </c>
      <c r="B8" s="546" t="s">
        <v>4</v>
      </c>
      <c r="C8" s="547" t="s">
        <v>219</v>
      </c>
      <c r="D8" s="647">
        <v>9.6693303214819712E-2</v>
      </c>
      <c r="E8" s="650">
        <f t="shared" si="0"/>
        <v>58015982</v>
      </c>
    </row>
    <row r="9" spans="1:6" x14ac:dyDescent="0.25">
      <c r="A9" s="28">
        <v>11000</v>
      </c>
      <c r="B9" s="546" t="s">
        <v>4</v>
      </c>
      <c r="C9" s="547" t="s">
        <v>220</v>
      </c>
      <c r="D9" s="647">
        <v>0.12507229711211443</v>
      </c>
      <c r="E9" s="650">
        <f t="shared" si="0"/>
        <v>75043378</v>
      </c>
    </row>
    <row r="10" spans="1:6" x14ac:dyDescent="0.25">
      <c r="A10" s="28">
        <v>11000</v>
      </c>
      <c r="B10" s="546" t="s">
        <v>4</v>
      </c>
      <c r="C10" s="547" t="s">
        <v>221</v>
      </c>
      <c r="D10" s="647">
        <v>9.2036540155254684E-2</v>
      </c>
      <c r="E10" s="650">
        <f t="shared" si="0"/>
        <v>55221924</v>
      </c>
    </row>
    <row r="11" spans="1:6" x14ac:dyDescent="0.25">
      <c r="A11" s="28">
        <v>14000</v>
      </c>
      <c r="B11" s="546" t="s">
        <v>7</v>
      </c>
      <c r="C11" s="547" t="s">
        <v>222</v>
      </c>
      <c r="D11" s="647">
        <v>0.20003355171206388</v>
      </c>
      <c r="E11" s="650">
        <f t="shared" si="0"/>
        <v>120020131</v>
      </c>
    </row>
    <row r="12" spans="1:6" x14ac:dyDescent="0.25">
      <c r="A12" s="28">
        <v>15000</v>
      </c>
      <c r="B12" s="546" t="s">
        <v>8</v>
      </c>
      <c r="C12" s="547" t="s">
        <v>222</v>
      </c>
      <c r="D12" s="647">
        <v>0.11052606938767151</v>
      </c>
      <c r="E12" s="650">
        <f t="shared" si="0"/>
        <v>66315642</v>
      </c>
    </row>
    <row r="13" spans="1:6" ht="15.75" thickBot="1" x14ac:dyDescent="0.3">
      <c r="A13" s="35">
        <v>17000</v>
      </c>
      <c r="B13" s="644" t="s">
        <v>9</v>
      </c>
      <c r="C13" s="645" t="s">
        <v>222</v>
      </c>
      <c r="D13" s="648">
        <v>5.3020483125146914E-2</v>
      </c>
      <c r="E13" s="651">
        <f t="shared" si="0"/>
        <v>31812290</v>
      </c>
    </row>
    <row r="14" spans="1:6" ht="15.75" thickBot="1" x14ac:dyDescent="0.3">
      <c r="A14" s="999" t="s">
        <v>28</v>
      </c>
      <c r="B14" s="1000"/>
      <c r="C14" s="1000"/>
      <c r="D14" s="8">
        <f>SUM(D6:D13)</f>
        <v>0.99999999999999989</v>
      </c>
      <c r="E14" s="313">
        <f>SUM(E6:E13)</f>
        <v>600000000</v>
      </c>
    </row>
    <row r="17" spans="1:1" x14ac:dyDescent="0.25">
      <c r="A17" s="618" t="s">
        <v>269</v>
      </c>
    </row>
  </sheetData>
  <mergeCells count="1">
    <mergeCell ref="A14:C14"/>
  </mergeCells>
  <hyperlinks>
    <hyperlink ref="A17" location="'0 Seznam'!A1" display="Seznam" xr:uid="{B16C6632-712D-4BB3-8277-E62580020892}"/>
  </hyperlinks>
  <pageMargins left="0.70866141732283472" right="0.70866141732283472" top="0.78740157480314965" bottom="0.78740157480314965" header="0.31496062992125984" footer="0.31496062992125984"/>
  <pageSetup paperSize="9" scale="73" orientation="landscape" r:id="rId1"/>
  <headerFooter>
    <oddHeader xml:space="preserve">&amp;LČ. j.:1468 /2023-1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P62"/>
  <sheetViews>
    <sheetView zoomScale="70" zoomScaleNormal="70" workbookViewId="0">
      <selection activeCell="B2" sqref="B2"/>
    </sheetView>
  </sheetViews>
  <sheetFormatPr defaultRowHeight="15" x14ac:dyDescent="0.25"/>
  <cols>
    <col min="2" max="2" width="53.42578125" customWidth="1"/>
    <col min="3" max="3" width="12.85546875" customWidth="1"/>
    <col min="4" max="4" width="31.28515625" bestFit="1" customWidth="1"/>
    <col min="5" max="14" width="17.7109375" customWidth="1"/>
    <col min="15" max="16" width="17.85546875" customWidth="1"/>
    <col min="18" max="18" width="14.42578125" bestFit="1" customWidth="1"/>
  </cols>
  <sheetData>
    <row r="1" spans="1:16" ht="27.75" x14ac:dyDescent="0.25">
      <c r="A1" s="316" t="s">
        <v>140</v>
      </c>
    </row>
    <row r="3" spans="1:16" x14ac:dyDescent="0.25">
      <c r="B3" s="528"/>
      <c r="C3" s="528" t="s">
        <v>312</v>
      </c>
      <c r="D3" s="360">
        <v>115000000</v>
      </c>
      <c r="E3" s="13" t="s">
        <v>34</v>
      </c>
    </row>
    <row r="4" spans="1:16" ht="15.75" thickBot="1" x14ac:dyDescent="0.3">
      <c r="B4" s="395"/>
      <c r="C4" s="395"/>
      <c r="D4" s="17"/>
      <c r="E4" s="16"/>
    </row>
    <row r="5" spans="1:16" ht="15.75" thickBot="1" x14ac:dyDescent="0.3">
      <c r="A5" s="1025" t="s">
        <v>115</v>
      </c>
      <c r="B5" s="1026"/>
      <c r="C5" s="1026"/>
      <c r="D5" s="1026"/>
      <c r="E5" s="1027">
        <v>0.4</v>
      </c>
      <c r="F5" s="1028"/>
      <c r="G5" s="1027">
        <v>0.4</v>
      </c>
      <c r="H5" s="1029"/>
      <c r="I5" s="1029"/>
      <c r="J5" s="1028"/>
      <c r="K5" s="1027">
        <v>0.1</v>
      </c>
      <c r="L5" s="1028"/>
      <c r="M5" s="1027">
        <v>0.1</v>
      </c>
      <c r="N5" s="1028"/>
      <c r="O5" s="1023">
        <f>SUM(E5:M5)</f>
        <v>1</v>
      </c>
      <c r="P5" s="1024"/>
    </row>
    <row r="6" spans="1:16" ht="39" customHeight="1" x14ac:dyDescent="0.25">
      <c r="A6" s="1020" t="s">
        <v>2</v>
      </c>
      <c r="B6" s="1021" t="s">
        <v>3</v>
      </c>
      <c r="C6" s="1004" t="s">
        <v>2</v>
      </c>
      <c r="D6" s="1022" t="s">
        <v>141</v>
      </c>
      <c r="E6" s="1019" t="s">
        <v>321</v>
      </c>
      <c r="F6" s="1009" t="s">
        <v>142</v>
      </c>
      <c r="G6" s="1019" t="s">
        <v>322</v>
      </c>
      <c r="H6" s="1015" t="s">
        <v>343</v>
      </c>
      <c r="I6" s="1017" t="s">
        <v>143</v>
      </c>
      <c r="J6" s="1009" t="s">
        <v>142</v>
      </c>
      <c r="K6" s="1019" t="s">
        <v>215</v>
      </c>
      <c r="L6" s="1009" t="s">
        <v>142</v>
      </c>
      <c r="M6" s="1010" t="s">
        <v>172</v>
      </c>
      <c r="N6" s="1009" t="s">
        <v>142</v>
      </c>
      <c r="O6" s="1012" t="s">
        <v>142</v>
      </c>
      <c r="P6" s="1014" t="s">
        <v>144</v>
      </c>
    </row>
    <row r="7" spans="1:16" ht="39" customHeight="1" thickBot="1" x14ac:dyDescent="0.3">
      <c r="A7" s="1020"/>
      <c r="B7" s="1021"/>
      <c r="C7" s="1005"/>
      <c r="D7" s="1022"/>
      <c r="E7" s="1011"/>
      <c r="F7" s="1009"/>
      <c r="G7" s="1011"/>
      <c r="H7" s="1016"/>
      <c r="I7" s="1018"/>
      <c r="J7" s="1009"/>
      <c r="K7" s="1011"/>
      <c r="L7" s="1009"/>
      <c r="M7" s="1011"/>
      <c r="N7" s="1009"/>
      <c r="O7" s="1013"/>
      <c r="P7" s="1014"/>
    </row>
    <row r="8" spans="1:16" ht="15" customHeight="1" x14ac:dyDescent="0.25">
      <c r="A8" s="396">
        <v>11000</v>
      </c>
      <c r="B8" s="815" t="s">
        <v>4</v>
      </c>
      <c r="C8" s="815">
        <v>11410</v>
      </c>
      <c r="D8" s="816" t="s">
        <v>145</v>
      </c>
      <c r="E8" s="817">
        <v>125595.935</v>
      </c>
      <c r="F8" s="818">
        <f>E8/$E$17</f>
        <v>0.16388811793083777</v>
      </c>
      <c r="G8" s="819">
        <v>51718.772133550752</v>
      </c>
      <c r="H8" s="820">
        <v>202.37</v>
      </c>
      <c r="I8" s="821">
        <f>($G$11-G8)*H8*12</f>
        <v>24006855.867622405</v>
      </c>
      <c r="J8" s="822">
        <f>I8/$I$17</f>
        <v>0.15977800575623585</v>
      </c>
      <c r="K8" s="823"/>
      <c r="L8" s="822">
        <f>0.5*L23+0.3*L36+0.2*L49</f>
        <v>0.17371523576632952</v>
      </c>
      <c r="M8" s="823"/>
      <c r="N8" s="822">
        <f>0.5*N23+0.3*N36+0.2*N49</f>
        <v>0.16889365425657107</v>
      </c>
      <c r="O8" s="824">
        <f t="shared" ref="O8:O16" si="0">$E$5*F8+$G$5*J8+$K$5*L8+$M$5*N8</f>
        <v>0.16372733847711954</v>
      </c>
      <c r="P8" s="825">
        <f>ROUND($D$3*O8,0)</f>
        <v>18828644</v>
      </c>
    </row>
    <row r="9" spans="1:16" ht="15" customHeight="1" x14ac:dyDescent="0.25">
      <c r="A9" s="28">
        <v>12000</v>
      </c>
      <c r="B9" s="546" t="s">
        <v>5</v>
      </c>
      <c r="C9" s="546">
        <v>12410</v>
      </c>
      <c r="D9" s="547" t="s">
        <v>145</v>
      </c>
      <c r="E9" s="826">
        <v>69770.337</v>
      </c>
      <c r="F9" s="827">
        <f t="shared" ref="F9:F16" si="1">E9/$E$17</f>
        <v>9.1042191917519416E-2</v>
      </c>
      <c r="G9" s="828">
        <v>50458.614300467772</v>
      </c>
      <c r="H9" s="829">
        <v>115.227</v>
      </c>
      <c r="I9" s="830">
        <f t="shared" ref="I9:I16" si="2">($G$11-G9)*H9*12</f>
        <v>15411660.249115609</v>
      </c>
      <c r="J9" s="831">
        <f t="shared" ref="J9:J16" si="3">I9/$I$17</f>
        <v>0.10257254650815802</v>
      </c>
      <c r="K9" s="832"/>
      <c r="L9" s="831">
        <f t="shared" ref="L9:L16" si="4">0.5*L24+0.3*L37+0.2*L50</f>
        <v>6.7039034856618204E-2</v>
      </c>
      <c r="M9" s="832"/>
      <c r="N9" s="831">
        <f t="shared" ref="N9:N16" si="5">0.5*N24+0.3*N37+0.2*N50</f>
        <v>8.1457618107125068E-2</v>
      </c>
      <c r="O9" s="833">
        <f t="shared" si="0"/>
        <v>9.2295560666645307E-2</v>
      </c>
      <c r="P9" s="834">
        <f t="shared" ref="P9:P16" si="6">ROUND($D$3*O9,0)</f>
        <v>10613989</v>
      </c>
    </row>
    <row r="10" spans="1:16" ht="15" customHeight="1" x14ac:dyDescent="0.25">
      <c r="A10" s="28">
        <v>13000</v>
      </c>
      <c r="B10" s="546" t="s">
        <v>6</v>
      </c>
      <c r="C10" s="546">
        <v>13430</v>
      </c>
      <c r="D10" s="547" t="s">
        <v>145</v>
      </c>
      <c r="E10" s="826">
        <v>56316.063999999998</v>
      </c>
      <c r="F10" s="827">
        <f t="shared" si="1"/>
        <v>7.3485927217569635E-2</v>
      </c>
      <c r="G10" s="828">
        <v>44937.953839622845</v>
      </c>
      <c r="H10" s="829">
        <v>104.43300000000001</v>
      </c>
      <c r="I10" s="830">
        <f t="shared" si="2"/>
        <v>20886427.765965369</v>
      </c>
      <c r="J10" s="831">
        <f t="shared" si="3"/>
        <v>0.13900994758411606</v>
      </c>
      <c r="K10" s="832"/>
      <c r="L10" s="831">
        <f t="shared" si="4"/>
        <v>8.4817290693307207E-2</v>
      </c>
      <c r="M10" s="832"/>
      <c r="N10" s="831">
        <f t="shared" si="5"/>
        <v>7.9131380087721082E-2</v>
      </c>
      <c r="O10" s="833">
        <f t="shared" si="0"/>
        <v>0.10139321699877711</v>
      </c>
      <c r="P10" s="834">
        <f t="shared" si="6"/>
        <v>11660220</v>
      </c>
    </row>
    <row r="11" spans="1:16" ht="15" customHeight="1" x14ac:dyDescent="0.25">
      <c r="A11" s="28">
        <v>14000</v>
      </c>
      <c r="B11" s="546" t="s">
        <v>7</v>
      </c>
      <c r="C11" s="546">
        <v>14410</v>
      </c>
      <c r="D11" s="547" t="s">
        <v>145</v>
      </c>
      <c r="E11" s="826">
        <v>138968.625</v>
      </c>
      <c r="F11" s="827">
        <f t="shared" si="1"/>
        <v>0.18133792628468726</v>
      </c>
      <c r="G11" s="828">
        <v>61604.48307045774</v>
      </c>
      <c r="H11" s="829">
        <v>187.98500000000001</v>
      </c>
      <c r="I11" s="830">
        <f t="shared" si="2"/>
        <v>0</v>
      </c>
      <c r="J11" s="831">
        <f t="shared" si="3"/>
        <v>0</v>
      </c>
      <c r="K11" s="832"/>
      <c r="L11" s="831">
        <f t="shared" si="4"/>
        <v>0.16767612246752689</v>
      </c>
      <c r="M11" s="832"/>
      <c r="N11" s="831">
        <f t="shared" si="5"/>
        <v>0.18753318203695177</v>
      </c>
      <c r="O11" s="833">
        <f t="shared" si="0"/>
        <v>0.10805610096432278</v>
      </c>
      <c r="P11" s="834">
        <f>ROUND($D$3*O11-0.15,0)</f>
        <v>12426451</v>
      </c>
    </row>
    <row r="12" spans="1:16" ht="15" customHeight="1" x14ac:dyDescent="0.25">
      <c r="A12" s="28">
        <v>15000</v>
      </c>
      <c r="B12" s="546" t="s">
        <v>8</v>
      </c>
      <c r="C12" s="546">
        <v>15410</v>
      </c>
      <c r="D12" s="547" t="s">
        <v>145</v>
      </c>
      <c r="E12" s="826">
        <v>105134.936</v>
      </c>
      <c r="F12" s="827">
        <f t="shared" si="1"/>
        <v>0.13718888903386151</v>
      </c>
      <c r="G12" s="828">
        <v>58632.665444210965</v>
      </c>
      <c r="H12" s="829">
        <v>149.42599999999999</v>
      </c>
      <c r="I12" s="830">
        <f t="shared" si="2"/>
        <v>5328801.8474346073</v>
      </c>
      <c r="J12" s="831">
        <f t="shared" si="3"/>
        <v>3.5465924273804982E-2</v>
      </c>
      <c r="K12" s="832"/>
      <c r="L12" s="831">
        <f t="shared" si="4"/>
        <v>0.17643242661653441</v>
      </c>
      <c r="M12" s="832"/>
      <c r="N12" s="831">
        <f t="shared" si="5"/>
        <v>0.17065013202145521</v>
      </c>
      <c r="O12" s="833">
        <f t="shared" si="0"/>
        <v>0.10377018118686557</v>
      </c>
      <c r="P12" s="834">
        <f t="shared" si="6"/>
        <v>11933571</v>
      </c>
    </row>
    <row r="13" spans="1:16" ht="15" customHeight="1" x14ac:dyDescent="0.25">
      <c r="A13" s="28">
        <v>17000</v>
      </c>
      <c r="B13" s="546" t="s">
        <v>9</v>
      </c>
      <c r="C13" s="546">
        <v>17450</v>
      </c>
      <c r="D13" s="547" t="s">
        <v>145</v>
      </c>
      <c r="E13" s="826">
        <v>57699.951999999997</v>
      </c>
      <c r="F13" s="827">
        <f t="shared" si="1"/>
        <v>7.5291740437138183E-2</v>
      </c>
      <c r="G13" s="828">
        <v>50499.70417826323</v>
      </c>
      <c r="H13" s="829">
        <v>95.215000000000003</v>
      </c>
      <c r="I13" s="830">
        <f t="shared" si="2"/>
        <v>12688098.266643602</v>
      </c>
      <c r="J13" s="831">
        <f t="shared" si="3"/>
        <v>8.4445837016817391E-2</v>
      </c>
      <c r="K13" s="832"/>
      <c r="L13" s="831">
        <f t="shared" si="4"/>
        <v>8.6521813445611495E-2</v>
      </c>
      <c r="M13" s="832"/>
      <c r="N13" s="831">
        <f t="shared" si="5"/>
        <v>9.2752300719715117E-2</v>
      </c>
      <c r="O13" s="833">
        <f t="shared" si="0"/>
        <v>8.1822442398114884E-2</v>
      </c>
      <c r="P13" s="834">
        <f t="shared" si="6"/>
        <v>9409581</v>
      </c>
    </row>
    <row r="14" spans="1:16" ht="15" customHeight="1" x14ac:dyDescent="0.25">
      <c r="A14" s="28">
        <v>18000</v>
      </c>
      <c r="B14" s="546" t="s">
        <v>10</v>
      </c>
      <c r="C14" s="546">
        <v>18440</v>
      </c>
      <c r="D14" s="547" t="s">
        <v>145</v>
      </c>
      <c r="E14" s="826">
        <v>66227.879000000001</v>
      </c>
      <c r="F14" s="827">
        <f t="shared" si="1"/>
        <v>8.6419695381552392E-2</v>
      </c>
      <c r="G14" s="828">
        <v>45720.687565065869</v>
      </c>
      <c r="H14" s="829">
        <v>120.711</v>
      </c>
      <c r="I14" s="830">
        <f t="shared" si="2"/>
        <v>23008186.071016297</v>
      </c>
      <c r="J14" s="831">
        <f t="shared" si="3"/>
        <v>0.15313134326154773</v>
      </c>
      <c r="K14" s="832"/>
      <c r="L14" s="831">
        <f t="shared" si="4"/>
        <v>9.6235192782816087E-2</v>
      </c>
      <c r="M14" s="832"/>
      <c r="N14" s="831">
        <f t="shared" si="5"/>
        <v>9.5840433955473092E-2</v>
      </c>
      <c r="O14" s="833">
        <f t="shared" si="0"/>
        <v>0.11502797813106896</v>
      </c>
      <c r="P14" s="834">
        <f t="shared" si="6"/>
        <v>13228217</v>
      </c>
    </row>
    <row r="15" spans="1:16" ht="15" customHeight="1" x14ac:dyDescent="0.25">
      <c r="A15" s="28">
        <v>23000</v>
      </c>
      <c r="B15" s="546" t="s">
        <v>14</v>
      </c>
      <c r="C15" s="546">
        <v>23420</v>
      </c>
      <c r="D15" s="547" t="s">
        <v>145</v>
      </c>
      <c r="E15" s="826">
        <v>58083.864000000001</v>
      </c>
      <c r="F15" s="827">
        <f t="shared" si="1"/>
        <v>7.5792701038538732E-2</v>
      </c>
      <c r="G15" s="828">
        <v>41470.938003358584</v>
      </c>
      <c r="H15" s="829">
        <v>116.71599999999999</v>
      </c>
      <c r="I15" s="830">
        <f t="shared" si="2"/>
        <v>28198882.152618539</v>
      </c>
      <c r="J15" s="831">
        <f t="shared" si="3"/>
        <v>0.18767810244477151</v>
      </c>
      <c r="K15" s="832"/>
      <c r="L15" s="831">
        <f t="shared" si="4"/>
        <v>7.0463463685608921E-2</v>
      </c>
      <c r="M15" s="832"/>
      <c r="N15" s="831">
        <f t="shared" si="5"/>
        <v>6.7995679847861715E-2</v>
      </c>
      <c r="O15" s="833">
        <f t="shared" si="0"/>
        <v>0.11923423574667116</v>
      </c>
      <c r="P15" s="834">
        <f>ROUND($D$3*O15,0)+1</f>
        <v>13711938</v>
      </c>
    </row>
    <row r="16" spans="1:16" ht="15.75" thickBot="1" x14ac:dyDescent="0.3">
      <c r="A16" s="28">
        <v>24000</v>
      </c>
      <c r="B16" s="835" t="s">
        <v>15</v>
      </c>
      <c r="C16" s="835">
        <v>24510</v>
      </c>
      <c r="D16" s="547" t="s">
        <v>146</v>
      </c>
      <c r="E16" s="836">
        <v>88554.091</v>
      </c>
      <c r="F16" s="837">
        <f t="shared" si="1"/>
        <v>0.11555281075829517</v>
      </c>
      <c r="G16" s="838">
        <v>49922.253980065849</v>
      </c>
      <c r="H16" s="839">
        <v>147.82</v>
      </c>
      <c r="I16" s="840">
        <f t="shared" si="2"/>
        <v>20722405.249700751</v>
      </c>
      <c r="J16" s="841">
        <f t="shared" si="3"/>
        <v>0.13791829315454845</v>
      </c>
      <c r="K16" s="842"/>
      <c r="L16" s="841">
        <f t="shared" si="4"/>
        <v>7.7099419685647264E-2</v>
      </c>
      <c r="M16" s="842"/>
      <c r="N16" s="841">
        <f t="shared" si="5"/>
        <v>5.5745618967125876E-2</v>
      </c>
      <c r="O16" s="843">
        <f t="shared" si="0"/>
        <v>0.11467294543041477</v>
      </c>
      <c r="P16" s="844">
        <f t="shared" si="6"/>
        <v>13187389</v>
      </c>
    </row>
    <row r="17" spans="1:16" ht="15.75" thickBot="1" x14ac:dyDescent="0.3">
      <c r="A17" s="999" t="s">
        <v>28</v>
      </c>
      <c r="B17" s="1000"/>
      <c r="C17" s="1000"/>
      <c r="D17" s="1001"/>
      <c r="E17" s="845">
        <f>SUM(E8:E16)</f>
        <v>766351.68299999996</v>
      </c>
      <c r="F17" s="846">
        <f>SUM(F8:F16)</f>
        <v>1</v>
      </c>
      <c r="G17" s="847">
        <f>E17/H17/12*1000</f>
        <v>51506.158344644697</v>
      </c>
      <c r="H17" s="848">
        <f t="shared" ref="H17:P17" si="7">SUM(H8:H16)</f>
        <v>1239.903</v>
      </c>
      <c r="I17" s="849">
        <f t="shared" si="7"/>
        <v>150251317.47011718</v>
      </c>
      <c r="J17" s="850">
        <f t="shared" si="7"/>
        <v>1</v>
      </c>
      <c r="K17" s="851">
        <f t="shared" si="7"/>
        <v>0</v>
      </c>
      <c r="L17" s="850">
        <f t="shared" si="7"/>
        <v>1</v>
      </c>
      <c r="M17" s="851">
        <f t="shared" si="7"/>
        <v>0</v>
      </c>
      <c r="N17" s="850">
        <f t="shared" si="7"/>
        <v>0.99999999999999978</v>
      </c>
      <c r="O17" s="852">
        <f t="shared" si="7"/>
        <v>1</v>
      </c>
      <c r="P17" s="853">
        <f t="shared" si="7"/>
        <v>115000000</v>
      </c>
    </row>
    <row r="18" spans="1:16" x14ac:dyDescent="0.25">
      <c r="A18" s="397" t="s">
        <v>344</v>
      </c>
      <c r="B18" s="398"/>
      <c r="C18" s="398"/>
      <c r="D18" s="398"/>
      <c r="E18" s="854"/>
      <c r="F18" s="855"/>
      <c r="G18" s="856"/>
      <c r="H18" s="857"/>
      <c r="I18" s="858"/>
      <c r="J18" s="859"/>
      <c r="K18" s="858"/>
      <c r="L18" s="859"/>
      <c r="M18" s="858"/>
      <c r="N18" s="859"/>
      <c r="O18" s="859"/>
      <c r="P18" s="858"/>
    </row>
    <row r="19" spans="1:16" x14ac:dyDescent="0.25">
      <c r="A19" s="397"/>
      <c r="B19" s="398"/>
      <c r="C19" s="398"/>
      <c r="D19" s="398"/>
      <c r="E19" s="854"/>
      <c r="F19" s="855"/>
      <c r="G19" s="856"/>
      <c r="H19" s="857"/>
      <c r="I19" s="858"/>
      <c r="J19" s="859"/>
      <c r="K19" s="858"/>
      <c r="L19" s="859"/>
      <c r="M19" s="858"/>
      <c r="N19" s="859"/>
      <c r="O19" s="859"/>
      <c r="P19" s="858"/>
    </row>
    <row r="20" spans="1:16" ht="42.75" customHeight="1" thickBot="1" x14ac:dyDescent="0.3">
      <c r="A20" t="s">
        <v>323</v>
      </c>
      <c r="O20" s="859"/>
      <c r="P20" s="858"/>
    </row>
    <row r="21" spans="1:16" ht="42.75" customHeight="1" x14ac:dyDescent="0.25">
      <c r="A21" s="1002" t="s">
        <v>2</v>
      </c>
      <c r="B21" s="1004" t="s">
        <v>3</v>
      </c>
      <c r="C21" s="1004" t="s">
        <v>2</v>
      </c>
      <c r="D21" s="1006" t="s">
        <v>141</v>
      </c>
      <c r="E21" s="398"/>
      <c r="F21" s="398"/>
      <c r="G21" s="398"/>
      <c r="H21" s="398"/>
      <c r="I21" s="398"/>
      <c r="J21" s="398"/>
      <c r="K21" s="1010" t="s">
        <v>324</v>
      </c>
      <c r="L21" s="1008" t="s">
        <v>142</v>
      </c>
      <c r="M21" s="1010" t="s">
        <v>325</v>
      </c>
      <c r="N21" s="1008" t="s">
        <v>142</v>
      </c>
      <c r="O21" s="859"/>
      <c r="P21" s="858"/>
    </row>
    <row r="22" spans="1:16" ht="60.75" customHeight="1" thickBot="1" x14ac:dyDescent="0.3">
      <c r="A22" s="1003"/>
      <c r="B22" s="1005"/>
      <c r="C22" s="1005"/>
      <c r="D22" s="1007"/>
      <c r="E22" s="398"/>
      <c r="F22" s="398"/>
      <c r="G22" s="398"/>
      <c r="H22" s="398"/>
      <c r="I22" s="398"/>
      <c r="J22" s="398"/>
      <c r="K22" s="1011"/>
      <c r="L22" s="1009"/>
      <c r="M22" s="1011"/>
      <c r="N22" s="1009"/>
      <c r="O22" s="859"/>
      <c r="P22" s="858"/>
    </row>
    <row r="23" spans="1:16" ht="15" customHeight="1" x14ac:dyDescent="0.25">
      <c r="A23" s="29">
        <v>11000</v>
      </c>
      <c r="B23" s="544" t="s">
        <v>4</v>
      </c>
      <c r="C23" s="815">
        <v>11410</v>
      </c>
      <c r="D23" s="545" t="s">
        <v>145</v>
      </c>
      <c r="E23" s="860"/>
      <c r="F23" s="860"/>
      <c r="G23" s="860"/>
      <c r="H23" s="860"/>
      <c r="I23" s="860"/>
      <c r="J23" s="860"/>
      <c r="K23" s="823">
        <v>5083.5</v>
      </c>
      <c r="L23" s="822">
        <f>K23/$K$32</f>
        <v>0.17364052466183905</v>
      </c>
      <c r="M23" s="823">
        <v>1016</v>
      </c>
      <c r="N23" s="822">
        <f>M23/$M$32</f>
        <v>0.17246647428280429</v>
      </c>
      <c r="O23" s="859"/>
      <c r="P23" s="858"/>
    </row>
    <row r="24" spans="1:16" ht="15" customHeight="1" x14ac:dyDescent="0.25">
      <c r="A24" s="28">
        <v>12000</v>
      </c>
      <c r="B24" s="546" t="s">
        <v>5</v>
      </c>
      <c r="C24" s="546">
        <v>12410</v>
      </c>
      <c r="D24" s="547" t="s">
        <v>145</v>
      </c>
      <c r="E24" s="860"/>
      <c r="F24" s="860"/>
      <c r="G24" s="860"/>
      <c r="H24" s="860"/>
      <c r="I24" s="860"/>
      <c r="J24" s="860"/>
      <c r="K24" s="832">
        <v>1960</v>
      </c>
      <c r="L24" s="831">
        <f t="shared" ref="L24:L31" si="8">K24/$K$32</f>
        <v>6.6949036753654864E-2</v>
      </c>
      <c r="M24" s="832">
        <v>473</v>
      </c>
      <c r="N24" s="831">
        <f t="shared" ref="N24:N31" si="9">M24/$M$32</f>
        <v>8.0291970802919707E-2</v>
      </c>
      <c r="O24" s="859"/>
      <c r="P24" s="858"/>
    </row>
    <row r="25" spans="1:16" ht="15" customHeight="1" x14ac:dyDescent="0.25">
      <c r="A25" s="28">
        <v>13000</v>
      </c>
      <c r="B25" s="546" t="s">
        <v>6</v>
      </c>
      <c r="C25" s="546">
        <v>13430</v>
      </c>
      <c r="D25" s="547" t="s">
        <v>145</v>
      </c>
      <c r="E25" s="860"/>
      <c r="F25" s="860"/>
      <c r="G25" s="860"/>
      <c r="H25" s="860"/>
      <c r="I25" s="860"/>
      <c r="J25" s="860"/>
      <c r="K25" s="832">
        <v>2441</v>
      </c>
      <c r="L25" s="831">
        <f t="shared" si="8"/>
        <v>8.3378876895750784E-2</v>
      </c>
      <c r="M25" s="832">
        <v>460</v>
      </c>
      <c r="N25" s="831">
        <f t="shared" si="9"/>
        <v>7.8085214734340519E-2</v>
      </c>
      <c r="O25" s="859"/>
      <c r="P25" s="858"/>
    </row>
    <row r="26" spans="1:16" ht="15" customHeight="1" x14ac:dyDescent="0.25">
      <c r="A26" s="28">
        <v>14000</v>
      </c>
      <c r="B26" s="546" t="s">
        <v>7</v>
      </c>
      <c r="C26" s="546">
        <v>14410</v>
      </c>
      <c r="D26" s="547" t="s">
        <v>145</v>
      </c>
      <c r="E26" s="860"/>
      <c r="F26" s="860"/>
      <c r="G26" s="860"/>
      <c r="H26" s="860"/>
      <c r="I26" s="860"/>
      <c r="J26" s="860"/>
      <c r="K26" s="832">
        <v>4961</v>
      </c>
      <c r="L26" s="831">
        <f t="shared" si="8"/>
        <v>0.16945620986473561</v>
      </c>
      <c r="M26" s="832">
        <v>1026</v>
      </c>
      <c r="N26" s="831">
        <f t="shared" si="9"/>
        <v>0.17416397895094213</v>
      </c>
      <c r="O26" s="859"/>
      <c r="P26" s="858"/>
    </row>
    <row r="27" spans="1:16" ht="15" customHeight="1" x14ac:dyDescent="0.25">
      <c r="A27" s="28">
        <v>15000</v>
      </c>
      <c r="B27" s="546" t="s">
        <v>8</v>
      </c>
      <c r="C27" s="546">
        <v>15410</v>
      </c>
      <c r="D27" s="547" t="s">
        <v>145</v>
      </c>
      <c r="E27" s="860"/>
      <c r="F27" s="860"/>
      <c r="G27" s="860"/>
      <c r="H27" s="860"/>
      <c r="I27" s="860"/>
      <c r="J27" s="860"/>
      <c r="K27" s="832">
        <v>5069.5</v>
      </c>
      <c r="L27" s="831">
        <f t="shared" si="8"/>
        <v>0.17316231725645581</v>
      </c>
      <c r="M27" s="832">
        <v>1049</v>
      </c>
      <c r="N27" s="831">
        <f t="shared" si="9"/>
        <v>0.17806823968765914</v>
      </c>
      <c r="O27" s="859"/>
      <c r="P27" s="858"/>
    </row>
    <row r="28" spans="1:16" ht="15" customHeight="1" x14ac:dyDescent="0.25">
      <c r="A28" s="28">
        <v>17000</v>
      </c>
      <c r="B28" s="546" t="s">
        <v>9</v>
      </c>
      <c r="C28" s="546">
        <v>17450</v>
      </c>
      <c r="D28" s="547" t="s">
        <v>145</v>
      </c>
      <c r="E28" s="860"/>
      <c r="F28" s="860"/>
      <c r="G28" s="860"/>
      <c r="H28" s="860"/>
      <c r="I28" s="860"/>
      <c r="J28" s="860"/>
      <c r="K28" s="832">
        <v>2566</v>
      </c>
      <c r="L28" s="831">
        <f t="shared" si="8"/>
        <v>8.7648585872386942E-2</v>
      </c>
      <c r="M28" s="832">
        <v>551</v>
      </c>
      <c r="N28" s="831">
        <f t="shared" si="9"/>
        <v>9.3532507214394836E-2</v>
      </c>
      <c r="O28" s="859"/>
      <c r="P28" s="858"/>
    </row>
    <row r="29" spans="1:16" ht="15" customHeight="1" x14ac:dyDescent="0.25">
      <c r="A29" s="28">
        <v>18000</v>
      </c>
      <c r="B29" s="546" t="s">
        <v>10</v>
      </c>
      <c r="C29" s="546">
        <v>18440</v>
      </c>
      <c r="D29" s="547" t="s">
        <v>145</v>
      </c>
      <c r="E29" s="860"/>
      <c r="F29" s="860"/>
      <c r="G29" s="860"/>
      <c r="H29" s="860"/>
      <c r="I29" s="860"/>
      <c r="J29" s="860"/>
      <c r="K29" s="832">
        <v>2799</v>
      </c>
      <c r="L29" s="831">
        <f t="shared" si="8"/>
        <v>9.5607323404836728E-2</v>
      </c>
      <c r="M29" s="832">
        <v>566</v>
      </c>
      <c r="N29" s="831">
        <f t="shared" si="9"/>
        <v>9.6078764216601595E-2</v>
      </c>
      <c r="O29" s="859"/>
      <c r="P29" s="858"/>
    </row>
    <row r="30" spans="1:16" ht="15" customHeight="1" x14ac:dyDescent="0.25">
      <c r="A30" s="28">
        <v>23000</v>
      </c>
      <c r="B30" s="546" t="s">
        <v>14</v>
      </c>
      <c r="C30" s="546">
        <v>23420</v>
      </c>
      <c r="D30" s="547" t="s">
        <v>145</v>
      </c>
      <c r="E30" s="860"/>
      <c r="F30" s="860"/>
      <c r="G30" s="860"/>
      <c r="H30" s="860"/>
      <c r="I30" s="860"/>
      <c r="J30" s="860"/>
      <c r="K30" s="832">
        <v>2077.5</v>
      </c>
      <c r="L30" s="831">
        <f t="shared" si="8"/>
        <v>7.0962563191692848E-2</v>
      </c>
      <c r="M30" s="832">
        <v>422</v>
      </c>
      <c r="N30" s="831">
        <f t="shared" si="9"/>
        <v>7.1634696995416733E-2</v>
      </c>
      <c r="O30" s="859"/>
      <c r="P30" s="858"/>
    </row>
    <row r="31" spans="1:16" ht="15.75" thickBot="1" x14ac:dyDescent="0.3">
      <c r="A31" s="28">
        <v>24000</v>
      </c>
      <c r="B31" s="835" t="s">
        <v>15</v>
      </c>
      <c r="C31" s="835">
        <v>24510</v>
      </c>
      <c r="D31" s="547" t="s">
        <v>146</v>
      </c>
      <c r="E31" s="860"/>
      <c r="F31" s="860"/>
      <c r="G31" s="860"/>
      <c r="H31" s="860"/>
      <c r="I31" s="860"/>
      <c r="J31" s="860"/>
      <c r="K31" s="842">
        <v>2318.5</v>
      </c>
      <c r="L31" s="831">
        <f t="shared" si="8"/>
        <v>7.919456209864735E-2</v>
      </c>
      <c r="M31" s="842">
        <v>328</v>
      </c>
      <c r="N31" s="841">
        <f t="shared" si="9"/>
        <v>5.5678153114921067E-2</v>
      </c>
      <c r="O31" s="859"/>
      <c r="P31" s="858"/>
    </row>
    <row r="32" spans="1:16" ht="15.75" thickBot="1" x14ac:dyDescent="0.3">
      <c r="A32" s="999" t="s">
        <v>28</v>
      </c>
      <c r="B32" s="1000"/>
      <c r="C32" s="1000"/>
      <c r="D32" s="1001"/>
      <c r="E32" s="398"/>
      <c r="F32" s="398"/>
      <c r="G32" s="398"/>
      <c r="H32" s="398"/>
      <c r="I32" s="398"/>
      <c r="J32" s="398"/>
      <c r="K32" s="851">
        <f>SUM(K23:K31)</f>
        <v>29276</v>
      </c>
      <c r="L32" s="850">
        <f>SUM(L23:L31)</f>
        <v>1</v>
      </c>
      <c r="M32" s="851">
        <f>SUM(M23:M31)</f>
        <v>5891</v>
      </c>
      <c r="N32" s="850">
        <f>SUM(N23:N31)</f>
        <v>1</v>
      </c>
      <c r="O32" s="859"/>
      <c r="P32" s="858"/>
    </row>
    <row r="33" spans="1:16" ht="15.75" thickBot="1" x14ac:dyDescent="0.3">
      <c r="A33" t="s">
        <v>279</v>
      </c>
      <c r="O33" s="859"/>
      <c r="P33" s="858"/>
    </row>
    <row r="34" spans="1:16" ht="42" customHeight="1" x14ac:dyDescent="0.25">
      <c r="A34" s="1002" t="s">
        <v>2</v>
      </c>
      <c r="B34" s="1004" t="s">
        <v>3</v>
      </c>
      <c r="C34" s="1004" t="s">
        <v>2</v>
      </c>
      <c r="D34" s="1006" t="s">
        <v>141</v>
      </c>
      <c r="E34" s="398"/>
      <c r="F34" s="398"/>
      <c r="G34" s="398"/>
      <c r="H34" s="398"/>
      <c r="I34" s="398"/>
      <c r="J34" s="398"/>
      <c r="K34" s="1010" t="s">
        <v>280</v>
      </c>
      <c r="L34" s="1008" t="s">
        <v>142</v>
      </c>
      <c r="M34" s="1010" t="s">
        <v>281</v>
      </c>
      <c r="N34" s="1008" t="s">
        <v>142</v>
      </c>
      <c r="O34" s="859"/>
      <c r="P34" s="858"/>
    </row>
    <row r="35" spans="1:16" ht="77.25" customHeight="1" thickBot="1" x14ac:dyDescent="0.3">
      <c r="A35" s="1003"/>
      <c r="B35" s="1005"/>
      <c r="C35" s="1005"/>
      <c r="D35" s="1007"/>
      <c r="E35" s="398"/>
      <c r="F35" s="398"/>
      <c r="G35" s="398"/>
      <c r="H35" s="398"/>
      <c r="I35" s="398"/>
      <c r="J35" s="398"/>
      <c r="K35" s="1011"/>
      <c r="L35" s="1009"/>
      <c r="M35" s="1011"/>
      <c r="N35" s="1009"/>
      <c r="O35" s="859"/>
      <c r="P35" s="858"/>
    </row>
    <row r="36" spans="1:16" x14ac:dyDescent="0.25">
      <c r="A36" s="29">
        <v>11000</v>
      </c>
      <c r="B36" s="544" t="s">
        <v>4</v>
      </c>
      <c r="C36" s="815">
        <v>11410</v>
      </c>
      <c r="D36" s="545" t="s">
        <v>145</v>
      </c>
      <c r="E36" s="860"/>
      <c r="F36" s="860"/>
      <c r="G36" s="860"/>
      <c r="H36" s="860"/>
      <c r="I36" s="860"/>
      <c r="J36" s="860"/>
      <c r="K36" s="823">
        <v>4972</v>
      </c>
      <c r="L36" s="822">
        <f>K36/$K$45</f>
        <v>0.1707798787504079</v>
      </c>
      <c r="M36" s="823">
        <v>1005</v>
      </c>
      <c r="N36" s="822">
        <f>M36/$M$45</f>
        <v>0.17016593294954283</v>
      </c>
      <c r="O36" s="859"/>
      <c r="P36" s="858"/>
    </row>
    <row r="37" spans="1:16" x14ac:dyDescent="0.25">
      <c r="A37" s="28">
        <v>12000</v>
      </c>
      <c r="B37" s="546" t="s">
        <v>5</v>
      </c>
      <c r="C37" s="546">
        <v>12410</v>
      </c>
      <c r="D37" s="547" t="s">
        <v>145</v>
      </c>
      <c r="E37" s="860"/>
      <c r="F37" s="860"/>
      <c r="G37" s="860"/>
      <c r="H37" s="860"/>
      <c r="I37" s="860"/>
      <c r="J37" s="860"/>
      <c r="K37" s="832">
        <v>2037.5</v>
      </c>
      <c r="L37" s="831">
        <f t="shared" ref="L37:L44" si="10">K37/$K$45</f>
        <v>6.9984714994761874E-2</v>
      </c>
      <c r="M37" s="832">
        <v>513</v>
      </c>
      <c r="N37" s="831">
        <f t="shared" ref="N37:N44" si="11">M37/$M$45</f>
        <v>8.6860819505587536E-2</v>
      </c>
      <c r="O37" s="859"/>
      <c r="P37" s="858"/>
    </row>
    <row r="38" spans="1:16" ht="15" customHeight="1" x14ac:dyDescent="0.25">
      <c r="A38" s="28">
        <v>13000</v>
      </c>
      <c r="B38" s="546" t="s">
        <v>6</v>
      </c>
      <c r="C38" s="546">
        <v>13430</v>
      </c>
      <c r="D38" s="547" t="s">
        <v>145</v>
      </c>
      <c r="E38" s="860"/>
      <c r="F38" s="860"/>
      <c r="G38" s="860"/>
      <c r="H38" s="860"/>
      <c r="I38" s="860"/>
      <c r="J38" s="860"/>
      <c r="K38" s="832">
        <v>2432.5</v>
      </c>
      <c r="L38" s="831">
        <f t="shared" si="10"/>
        <v>8.3552303913991793E-2</v>
      </c>
      <c r="M38" s="832">
        <v>429</v>
      </c>
      <c r="N38" s="831">
        <f t="shared" si="11"/>
        <v>7.2637995259058591E-2</v>
      </c>
      <c r="O38" s="859"/>
      <c r="P38" s="858"/>
    </row>
    <row r="39" spans="1:16" x14ac:dyDescent="0.25">
      <c r="A39" s="28">
        <v>14000</v>
      </c>
      <c r="B39" s="546" t="s">
        <v>7</v>
      </c>
      <c r="C39" s="546">
        <v>14410</v>
      </c>
      <c r="D39" s="547" t="s">
        <v>145</v>
      </c>
      <c r="E39" s="860"/>
      <c r="F39" s="860"/>
      <c r="G39" s="860"/>
      <c r="H39" s="860"/>
      <c r="I39" s="860"/>
      <c r="J39" s="860"/>
      <c r="K39" s="832">
        <v>4847.5</v>
      </c>
      <c r="L39" s="831">
        <f t="shared" si="10"/>
        <v>0.16650351211637213</v>
      </c>
      <c r="M39" s="832">
        <v>1159</v>
      </c>
      <c r="N39" s="831">
        <f t="shared" si="11"/>
        <v>0.19624111073484593</v>
      </c>
      <c r="O39" s="859"/>
      <c r="P39" s="858"/>
    </row>
    <row r="40" spans="1:16" x14ac:dyDescent="0.25">
      <c r="A40" s="28">
        <v>15000</v>
      </c>
      <c r="B40" s="546" t="s">
        <v>8</v>
      </c>
      <c r="C40" s="546">
        <v>15410</v>
      </c>
      <c r="D40" s="547" t="s">
        <v>145</v>
      </c>
      <c r="E40" s="860"/>
      <c r="F40" s="860"/>
      <c r="G40" s="860"/>
      <c r="H40" s="860"/>
      <c r="I40" s="860"/>
      <c r="J40" s="860"/>
      <c r="K40" s="832">
        <v>5240.5</v>
      </c>
      <c r="L40" s="831">
        <f t="shared" si="10"/>
        <v>0.18000240438284645</v>
      </c>
      <c r="M40" s="832">
        <v>993</v>
      </c>
      <c r="N40" s="831">
        <f t="shared" si="11"/>
        <v>0.1681341009143244</v>
      </c>
      <c r="O40" s="859"/>
      <c r="P40" s="858"/>
    </row>
    <row r="41" spans="1:16" x14ac:dyDescent="0.25">
      <c r="A41" s="28">
        <v>17000</v>
      </c>
      <c r="B41" s="546" t="s">
        <v>9</v>
      </c>
      <c r="C41" s="546">
        <v>17450</v>
      </c>
      <c r="D41" s="547" t="s">
        <v>145</v>
      </c>
      <c r="E41" s="860"/>
      <c r="F41" s="860"/>
      <c r="G41" s="860"/>
      <c r="H41" s="860"/>
      <c r="I41" s="860"/>
      <c r="J41" s="860"/>
      <c r="K41" s="832">
        <v>2512</v>
      </c>
      <c r="L41" s="831">
        <f t="shared" si="10"/>
        <v>8.6282995861026668E-2</v>
      </c>
      <c r="M41" s="832">
        <v>553</v>
      </c>
      <c r="N41" s="831">
        <f t="shared" si="11"/>
        <v>9.3633592956315612E-2</v>
      </c>
      <c r="O41" s="859"/>
      <c r="P41" s="858"/>
    </row>
    <row r="42" spans="1:16" x14ac:dyDescent="0.25">
      <c r="A42" s="28">
        <v>18000</v>
      </c>
      <c r="B42" s="546" t="s">
        <v>10</v>
      </c>
      <c r="C42" s="546">
        <v>18440</v>
      </c>
      <c r="D42" s="547" t="s">
        <v>145</v>
      </c>
      <c r="E42" s="860"/>
      <c r="F42" s="860"/>
      <c r="G42" s="860"/>
      <c r="H42" s="860"/>
      <c r="I42" s="860"/>
      <c r="J42" s="860"/>
      <c r="K42" s="832">
        <v>2774.5</v>
      </c>
      <c r="L42" s="831">
        <f t="shared" si="10"/>
        <v>9.5299431535198445E-2</v>
      </c>
      <c r="M42" s="832">
        <v>567</v>
      </c>
      <c r="N42" s="831">
        <f t="shared" si="11"/>
        <v>9.6004063664070438E-2</v>
      </c>
      <c r="O42" s="859"/>
      <c r="P42" s="858"/>
    </row>
    <row r="43" spans="1:16" x14ac:dyDescent="0.25">
      <c r="A43" s="28">
        <v>23000</v>
      </c>
      <c r="B43" s="546" t="s">
        <v>14</v>
      </c>
      <c r="C43" s="546">
        <v>23420</v>
      </c>
      <c r="D43" s="547" t="s">
        <v>145</v>
      </c>
      <c r="E43" s="860"/>
      <c r="F43" s="860"/>
      <c r="G43" s="860"/>
      <c r="H43" s="860"/>
      <c r="I43" s="860"/>
      <c r="J43" s="860"/>
      <c r="K43" s="832">
        <v>2078</v>
      </c>
      <c r="L43" s="831">
        <f t="shared" si="10"/>
        <v>7.137582221306267E-2</v>
      </c>
      <c r="M43" s="832">
        <v>376</v>
      </c>
      <c r="N43" s="831">
        <f t="shared" si="11"/>
        <v>6.3664070436843884E-2</v>
      </c>
      <c r="O43" s="859"/>
      <c r="P43" s="858"/>
    </row>
    <row r="44" spans="1:16" ht="15.75" thickBot="1" x14ac:dyDescent="0.3">
      <c r="A44" s="28">
        <v>24000</v>
      </c>
      <c r="B44" s="835" t="s">
        <v>15</v>
      </c>
      <c r="C44" s="835">
        <v>24510</v>
      </c>
      <c r="D44" s="547" t="s">
        <v>146</v>
      </c>
      <c r="E44" s="860"/>
      <c r="F44" s="860"/>
      <c r="G44" s="860"/>
      <c r="H44" s="860"/>
      <c r="I44" s="860"/>
      <c r="J44" s="860"/>
      <c r="K44" s="842">
        <v>2219</v>
      </c>
      <c r="L44" s="841">
        <f t="shared" si="10"/>
        <v>7.6218936232332085E-2</v>
      </c>
      <c r="M44" s="842">
        <v>311</v>
      </c>
      <c r="N44" s="841">
        <f t="shared" si="11"/>
        <v>5.2658313579410768E-2</v>
      </c>
      <c r="O44" s="859"/>
      <c r="P44" s="858"/>
    </row>
    <row r="45" spans="1:16" ht="15.75" thickBot="1" x14ac:dyDescent="0.3">
      <c r="A45" s="999" t="s">
        <v>28</v>
      </c>
      <c r="B45" s="1000"/>
      <c r="C45" s="1000"/>
      <c r="D45" s="1001"/>
      <c r="E45" s="398"/>
      <c r="F45" s="398"/>
      <c r="G45" s="398"/>
      <c r="H45" s="398"/>
      <c r="I45" s="398"/>
      <c r="J45" s="398"/>
      <c r="K45" s="851">
        <f>SUM(K36:K44)</f>
        <v>29113.5</v>
      </c>
      <c r="L45" s="850">
        <f>SUM(L36:L44)</f>
        <v>1</v>
      </c>
      <c r="M45" s="851">
        <f>SUM(M36:M44)</f>
        <v>5906</v>
      </c>
      <c r="N45" s="850">
        <f>SUM(N36:N44)</f>
        <v>0.99999999999999989</v>
      </c>
      <c r="O45" s="859"/>
      <c r="P45" s="858"/>
    </row>
    <row r="46" spans="1:16" ht="15.75" thickBot="1" x14ac:dyDescent="0.3">
      <c r="A46" t="s">
        <v>205</v>
      </c>
    </row>
    <row r="47" spans="1:16" x14ac:dyDescent="0.25">
      <c r="A47" s="1002" t="s">
        <v>2</v>
      </c>
      <c r="B47" s="1004" t="s">
        <v>3</v>
      </c>
      <c r="C47" s="1004" t="s">
        <v>2</v>
      </c>
      <c r="D47" s="1006" t="s">
        <v>141</v>
      </c>
      <c r="E47" s="398"/>
      <c r="F47" s="398"/>
      <c r="G47" s="398"/>
      <c r="H47" s="398"/>
      <c r="I47" s="398"/>
      <c r="J47" s="398"/>
      <c r="K47" s="1010" t="s">
        <v>203</v>
      </c>
      <c r="L47" s="1008" t="s">
        <v>142</v>
      </c>
      <c r="M47" s="1010" t="s">
        <v>204</v>
      </c>
      <c r="N47" s="1008" t="s">
        <v>142</v>
      </c>
    </row>
    <row r="48" spans="1:16" ht="101.25" customHeight="1" thickBot="1" x14ac:dyDescent="0.3">
      <c r="A48" s="1003"/>
      <c r="B48" s="1005"/>
      <c r="C48" s="1005"/>
      <c r="D48" s="1007"/>
      <c r="E48" s="398"/>
      <c r="F48" s="398"/>
      <c r="G48" s="398"/>
      <c r="H48" s="398"/>
      <c r="I48" s="398"/>
      <c r="J48" s="398"/>
      <c r="K48" s="1011"/>
      <c r="L48" s="1009"/>
      <c r="M48" s="1011"/>
      <c r="N48" s="1009"/>
    </row>
    <row r="49" spans="1:14" s="883" customFormat="1" ht="15" customHeight="1" x14ac:dyDescent="0.25">
      <c r="A49" s="876">
        <v>11000</v>
      </c>
      <c r="B49" s="877" t="s">
        <v>4</v>
      </c>
      <c r="C49" s="878">
        <v>11410</v>
      </c>
      <c r="D49" s="879" t="s">
        <v>145</v>
      </c>
      <c r="E49" s="880"/>
      <c r="F49" s="880"/>
      <c r="G49" s="880"/>
      <c r="H49" s="880"/>
      <c r="I49" s="880"/>
      <c r="J49" s="880"/>
      <c r="K49" s="881">
        <v>5080</v>
      </c>
      <c r="L49" s="882">
        <f>K49/$K$58</f>
        <v>0.17830504905143821</v>
      </c>
      <c r="M49" s="881">
        <v>945</v>
      </c>
      <c r="N49" s="882">
        <f>M49/$M$58</f>
        <v>0.15805318615153036</v>
      </c>
    </row>
    <row r="50" spans="1:14" x14ac:dyDescent="0.25">
      <c r="A50" s="28">
        <v>12000</v>
      </c>
      <c r="B50" s="546" t="s">
        <v>5</v>
      </c>
      <c r="C50" s="546">
        <v>12410</v>
      </c>
      <c r="D50" s="547" t="s">
        <v>145</v>
      </c>
      <c r="E50" s="860"/>
      <c r="F50" s="860"/>
      <c r="G50" s="860"/>
      <c r="H50" s="860"/>
      <c r="I50" s="860"/>
      <c r="J50" s="860"/>
      <c r="K50" s="832">
        <v>1790.5</v>
      </c>
      <c r="L50" s="831">
        <f t="shared" ref="L50:L57" si="12">K50/$K$58</f>
        <v>6.2845509906811037E-2</v>
      </c>
      <c r="M50" s="832">
        <v>456</v>
      </c>
      <c r="N50" s="831">
        <f t="shared" ref="N50:N57" si="13">M50/$M$58</f>
        <v>7.6266934269944811E-2</v>
      </c>
    </row>
    <row r="51" spans="1:14" x14ac:dyDescent="0.25">
      <c r="A51" s="28">
        <v>13000</v>
      </c>
      <c r="B51" s="546" t="s">
        <v>6</v>
      </c>
      <c r="C51" s="546">
        <v>13430</v>
      </c>
      <c r="D51" s="547" t="s">
        <v>145</v>
      </c>
      <c r="E51" s="860"/>
      <c r="F51" s="860"/>
      <c r="G51" s="860"/>
      <c r="H51" s="860"/>
      <c r="I51" s="860"/>
      <c r="J51" s="860"/>
      <c r="K51" s="832">
        <v>2573</v>
      </c>
      <c r="L51" s="831">
        <f t="shared" si="12"/>
        <v>9.031080535617135E-2</v>
      </c>
      <c r="M51" s="832">
        <v>547</v>
      </c>
      <c r="N51" s="831">
        <f t="shared" si="13"/>
        <v>9.1486870714166252E-2</v>
      </c>
    </row>
    <row r="52" spans="1:14" ht="15" customHeight="1" x14ac:dyDescent="0.25">
      <c r="A52" s="28">
        <v>14000</v>
      </c>
      <c r="B52" s="546" t="s">
        <v>7</v>
      </c>
      <c r="C52" s="546">
        <v>14410</v>
      </c>
      <c r="D52" s="547" t="s">
        <v>145</v>
      </c>
      <c r="E52" s="860"/>
      <c r="F52" s="860"/>
      <c r="G52" s="860"/>
      <c r="H52" s="860"/>
      <c r="I52" s="860"/>
      <c r="J52" s="860"/>
      <c r="K52" s="832">
        <v>4700.5</v>
      </c>
      <c r="L52" s="831">
        <f t="shared" si="12"/>
        <v>0.16498481950123725</v>
      </c>
      <c r="M52" s="832">
        <v>1243</v>
      </c>
      <c r="N52" s="831">
        <f t="shared" si="13"/>
        <v>0.20789429670513465</v>
      </c>
    </row>
    <row r="53" spans="1:14" x14ac:dyDescent="0.25">
      <c r="A53" s="28">
        <v>15000</v>
      </c>
      <c r="B53" s="546" t="s">
        <v>8</v>
      </c>
      <c r="C53" s="546">
        <v>15410</v>
      </c>
      <c r="D53" s="547" t="s">
        <v>145</v>
      </c>
      <c r="E53" s="860"/>
      <c r="F53" s="860"/>
      <c r="G53" s="860"/>
      <c r="H53" s="860"/>
      <c r="I53" s="860"/>
      <c r="J53" s="860"/>
      <c r="K53" s="832">
        <v>5107</v>
      </c>
      <c r="L53" s="831">
        <f t="shared" si="12"/>
        <v>0.17925273336726277</v>
      </c>
      <c r="M53" s="832">
        <v>932</v>
      </c>
      <c r="N53" s="831">
        <f t="shared" si="13"/>
        <v>0.15587890951664157</v>
      </c>
    </row>
    <row r="54" spans="1:14" x14ac:dyDescent="0.25">
      <c r="A54" s="28">
        <v>17000</v>
      </c>
      <c r="B54" s="546" t="s">
        <v>9</v>
      </c>
      <c r="C54" s="546">
        <v>17450</v>
      </c>
      <c r="D54" s="547" t="s">
        <v>145</v>
      </c>
      <c r="E54" s="860"/>
      <c r="F54" s="860"/>
      <c r="G54" s="860"/>
      <c r="H54" s="860"/>
      <c r="I54" s="860"/>
      <c r="J54" s="860"/>
      <c r="K54" s="832">
        <v>2395</v>
      </c>
      <c r="L54" s="831">
        <f t="shared" si="12"/>
        <v>8.4063108755550092E-2</v>
      </c>
      <c r="M54" s="832">
        <v>535</v>
      </c>
      <c r="N54" s="831">
        <f t="shared" si="13"/>
        <v>8.9479846128115076E-2</v>
      </c>
    </row>
    <row r="55" spans="1:14" x14ac:dyDescent="0.25">
      <c r="A55" s="28">
        <v>18000</v>
      </c>
      <c r="B55" s="546" t="s">
        <v>10</v>
      </c>
      <c r="C55" s="546">
        <v>18440</v>
      </c>
      <c r="D55" s="547" t="s">
        <v>145</v>
      </c>
      <c r="E55" s="860"/>
      <c r="F55" s="860"/>
      <c r="G55" s="860"/>
      <c r="H55" s="860"/>
      <c r="I55" s="860"/>
      <c r="J55" s="860"/>
      <c r="K55" s="832">
        <v>2826.5</v>
      </c>
      <c r="L55" s="831">
        <f t="shared" si="12"/>
        <v>9.9208508099190962E-2</v>
      </c>
      <c r="M55" s="832">
        <v>568</v>
      </c>
      <c r="N55" s="831">
        <f t="shared" si="13"/>
        <v>9.499916373975581E-2</v>
      </c>
    </row>
    <row r="56" spans="1:14" x14ac:dyDescent="0.25">
      <c r="A56" s="28">
        <v>23000</v>
      </c>
      <c r="B56" s="546" t="s">
        <v>14</v>
      </c>
      <c r="C56" s="546">
        <v>23420</v>
      </c>
      <c r="D56" s="547" t="s">
        <v>145</v>
      </c>
      <c r="E56" s="860"/>
      <c r="F56" s="860"/>
      <c r="G56" s="860"/>
      <c r="H56" s="860"/>
      <c r="I56" s="860"/>
      <c r="J56" s="860"/>
      <c r="K56" s="832">
        <v>1933</v>
      </c>
      <c r="L56" s="831">
        <f t="shared" si="12"/>
        <v>6.7847177129218506E-2</v>
      </c>
      <c r="M56" s="832">
        <v>391</v>
      </c>
      <c r="N56" s="831">
        <f t="shared" si="13"/>
        <v>6.5395551095500923E-2</v>
      </c>
    </row>
    <row r="57" spans="1:14" ht="15.75" thickBot="1" x14ac:dyDescent="0.3">
      <c r="A57" s="28">
        <v>24000</v>
      </c>
      <c r="B57" s="835" t="s">
        <v>15</v>
      </c>
      <c r="C57" s="835">
        <v>24510</v>
      </c>
      <c r="D57" s="547" t="s">
        <v>146</v>
      </c>
      <c r="E57" s="860"/>
      <c r="F57" s="860"/>
      <c r="G57" s="860"/>
      <c r="H57" s="860"/>
      <c r="I57" s="860"/>
      <c r="J57" s="860"/>
      <c r="K57" s="842">
        <v>2085</v>
      </c>
      <c r="L57" s="841">
        <f t="shared" si="12"/>
        <v>7.3182288833119807E-2</v>
      </c>
      <c r="M57" s="842">
        <v>362</v>
      </c>
      <c r="N57" s="841">
        <f t="shared" si="13"/>
        <v>6.0545241679210569E-2</v>
      </c>
    </row>
    <row r="58" spans="1:14" ht="15.75" thickBot="1" x14ac:dyDescent="0.3">
      <c r="A58" s="999" t="s">
        <v>28</v>
      </c>
      <c r="B58" s="1000"/>
      <c r="C58" s="1000"/>
      <c r="D58" s="1001"/>
      <c r="E58" s="398"/>
      <c r="F58" s="398"/>
      <c r="G58" s="398"/>
      <c r="H58" s="398"/>
      <c r="I58" s="398"/>
      <c r="J58" s="398"/>
      <c r="K58" s="851">
        <f>SUM(K49:K57)</f>
        <v>28490.5</v>
      </c>
      <c r="L58" s="850">
        <f>SUM(L49:L57)</f>
        <v>1</v>
      </c>
      <c r="M58" s="851">
        <f>SUM(M49:M57)</f>
        <v>5979</v>
      </c>
      <c r="N58" s="850">
        <f>SUM(N49:N57)</f>
        <v>1</v>
      </c>
    </row>
    <row r="62" spans="1:14" x14ac:dyDescent="0.25">
      <c r="A62" s="618" t="s">
        <v>269</v>
      </c>
      <c r="B62" s="38"/>
    </row>
  </sheetData>
  <mergeCells count="50">
    <mergeCell ref="O5:P5"/>
    <mergeCell ref="A5:D5"/>
    <mergeCell ref="E5:F5"/>
    <mergeCell ref="G5:J5"/>
    <mergeCell ref="K5:L5"/>
    <mergeCell ref="M5:N5"/>
    <mergeCell ref="O6:O7"/>
    <mergeCell ref="P6:P7"/>
    <mergeCell ref="A17:D17"/>
    <mergeCell ref="H6:H7"/>
    <mergeCell ref="I6:I7"/>
    <mergeCell ref="J6:J7"/>
    <mergeCell ref="K6:K7"/>
    <mergeCell ref="L6:L7"/>
    <mergeCell ref="M6:M7"/>
    <mergeCell ref="A6:A7"/>
    <mergeCell ref="B6:B7"/>
    <mergeCell ref="D6:D7"/>
    <mergeCell ref="E6:E7"/>
    <mergeCell ref="F6:F7"/>
    <mergeCell ref="G6:G7"/>
    <mergeCell ref="C6:C7"/>
    <mergeCell ref="N6:N7"/>
    <mergeCell ref="A21:A22"/>
    <mergeCell ref="B21:B22"/>
    <mergeCell ref="C21:C22"/>
    <mergeCell ref="D21:D22"/>
    <mergeCell ref="K21:K22"/>
    <mergeCell ref="L21:L22"/>
    <mergeCell ref="M21:M22"/>
    <mergeCell ref="N21:N22"/>
    <mergeCell ref="A32:D32"/>
    <mergeCell ref="L47:L48"/>
    <mergeCell ref="M47:M48"/>
    <mergeCell ref="N47:N48"/>
    <mergeCell ref="K47:K48"/>
    <mergeCell ref="N34:N35"/>
    <mergeCell ref="A45:D45"/>
    <mergeCell ref="A34:A35"/>
    <mergeCell ref="B34:B35"/>
    <mergeCell ref="C34:C35"/>
    <mergeCell ref="D34:D35"/>
    <mergeCell ref="K34:K35"/>
    <mergeCell ref="L34:L35"/>
    <mergeCell ref="M34:M35"/>
    <mergeCell ref="A58:D58"/>
    <mergeCell ref="A47:A48"/>
    <mergeCell ref="B47:B48"/>
    <mergeCell ref="C47:C48"/>
    <mergeCell ref="D47:D48"/>
  </mergeCells>
  <hyperlinks>
    <hyperlink ref="A62" location="'0 Seznam'!A1" display="Seznam" xr:uid="{8B7B23EC-54C0-4F39-A304-00F19E97B628}"/>
  </hyperlinks>
  <pageMargins left="0.70866141732283472" right="0.70866141732283472" top="0.78740157480314965" bottom="0.78740157480314965" header="0.31496062992125984" footer="0.31496062992125984"/>
  <pageSetup paperSize="8" scale="73" orientation="landscape" r:id="rId1"/>
  <headerFooter>
    <oddHeader xml:space="preserve">&amp;LČ. j.:1468 /2023-1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19</vt:i4>
      </vt:variant>
    </vt:vector>
  </HeadingPairs>
  <TitlesOfParts>
    <vt:vector size="19" baseType="lpstr">
      <vt:lpstr>0 Seznam</vt:lpstr>
      <vt:lpstr>1 Bilance</vt:lpstr>
      <vt:lpstr>2 Nastavení podílů segmentů</vt:lpstr>
      <vt:lpstr>2a Výkonová část segment 1</vt:lpstr>
      <vt:lpstr>2b Výkonová část segment 2</vt:lpstr>
      <vt:lpstr>2c Výkonová část segment 3</vt:lpstr>
      <vt:lpstr>2d Výkonová část segment 4</vt:lpstr>
      <vt:lpstr>3a Ukazatel P - lékařské fakult</vt:lpstr>
      <vt:lpstr>3b Ukazatel P - Pedagog. fak.</vt:lpstr>
      <vt:lpstr>3c Ukazatel P - pedagogické SP</vt:lpstr>
      <vt:lpstr>3d Ukazatel P - deficitní aprob</vt:lpstr>
      <vt:lpstr>4 RO I</vt:lpstr>
      <vt:lpstr>5 Ukazatel C</vt:lpstr>
      <vt:lpstr>6 Ukazatel J</vt:lpstr>
      <vt:lpstr>7 Ukazatel U</vt:lpstr>
      <vt:lpstr>8 Ukazatel I</vt:lpstr>
      <vt:lpstr>9 Fond umělecké činnosti</vt:lpstr>
      <vt:lpstr>10a Ukazatel F - U3V</vt:lpstr>
      <vt:lpstr>10b Ukazatel F - SSP</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Ludvík Jiří</dc:creator>
  <cp:lastModifiedBy>Valášek Petr</cp:lastModifiedBy>
  <cp:lastPrinted>2023-01-25T12:51:05Z</cp:lastPrinted>
  <dcterms:created xsi:type="dcterms:W3CDTF">2018-12-11T07:31:06Z</dcterms:created>
  <dcterms:modified xsi:type="dcterms:W3CDTF">2023-02-01T12:25:53Z</dcterms:modified>
</cp:coreProperties>
</file>