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valasekp\Documents\1. Pracovní\2024\Rozpočet 2024\Rozpočet ke zveřejnění\"/>
    </mc:Choice>
  </mc:AlternateContent>
  <xr:revisionPtr revIDLastSave="0" documentId="8_{A5308798-7E4D-4626-A8D4-9593C48FC63C}" xr6:coauthVersionLast="47" xr6:coauthVersionMax="47" xr10:uidLastSave="{00000000-0000-0000-0000-000000000000}"/>
  <bookViews>
    <workbookView xWindow="1560" yWindow="1560" windowWidth="21600" windowHeight="11235" tabRatio="897" xr2:uid="{00000000-000D-0000-FFFF-FFFF00000000}"/>
  </bookViews>
  <sheets>
    <sheet name="0 Seznam" sheetId="32" r:id="rId1"/>
    <sheet name="1 Bilance" sheetId="31" r:id="rId2"/>
    <sheet name="2a Výkonová část segment 1" sheetId="15" r:id="rId3"/>
    <sheet name="2b Výkonová část segment 2" sheetId="16" r:id="rId4"/>
    <sheet name="2c Výkonová část segment 3" sheetId="17" r:id="rId5"/>
    <sheet name="2d Výkonová část segment 4" sheetId="18" r:id="rId6"/>
    <sheet name="3a Ukazatel P - lékařské fakult" sheetId="34" r:id="rId7"/>
    <sheet name="3b Ukazatel P - Pedagog. fak." sheetId="20" r:id="rId8"/>
    <sheet name="3c Ukazatel P - pedagogické SP" sheetId="24" r:id="rId9"/>
    <sheet name="3d Ukazatel P - deficitní aprob" sheetId="33" r:id="rId10"/>
    <sheet name="4 RO I" sheetId="10" r:id="rId11"/>
    <sheet name="5 Ukazatel C" sheetId="12" r:id="rId12"/>
    <sheet name="6 Ukazatel J" sheetId="19" r:id="rId13"/>
    <sheet name="7 Ukazatel U" sheetId="13" r:id="rId14"/>
    <sheet name="8 Ukazatel I" sheetId="26" r:id="rId15"/>
    <sheet name="9 Fond umělecké činnosti" sheetId="27" r:id="rId16"/>
    <sheet name="10a Ukazatel F - U3V" sheetId="21" r:id="rId17"/>
    <sheet name="10b Ukazatel F - SSP" sheetId="22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3" l="1"/>
  <c r="J20" i="33"/>
  <c r="J21" i="33"/>
  <c r="J19" i="33"/>
  <c r="J18" i="33"/>
  <c r="L27" i="10" s="1"/>
  <c r="J17" i="33"/>
  <c r="J16" i="33"/>
  <c r="J15" i="33"/>
  <c r="J14" i="33"/>
  <c r="L22" i="10" s="1"/>
  <c r="J13" i="33"/>
  <c r="J12" i="33"/>
  <c r="J11" i="33"/>
  <c r="J10" i="33"/>
  <c r="L18" i="10" s="1"/>
  <c r="J9" i="33"/>
  <c r="J8" i="33"/>
  <c r="L34" i="10"/>
  <c r="L29" i="10"/>
  <c r="L28" i="10"/>
  <c r="L25" i="10"/>
  <c r="L24" i="10"/>
  <c r="L21" i="10"/>
  <c r="L20" i="10"/>
  <c r="L19" i="10"/>
  <c r="K37" i="10"/>
  <c r="K36" i="10"/>
  <c r="K35" i="10"/>
  <c r="K34" i="10"/>
  <c r="K31" i="10"/>
  <c r="K30" i="10"/>
  <c r="K29" i="10"/>
  <c r="K28" i="10"/>
  <c r="K27" i="10"/>
  <c r="K26" i="10"/>
  <c r="K25" i="10"/>
  <c r="K24" i="10"/>
  <c r="K22" i="10"/>
  <c r="K21" i="10"/>
  <c r="K20" i="10"/>
  <c r="K19" i="10"/>
  <c r="K18" i="10"/>
  <c r="G78" i="33" l="1"/>
  <c r="E78" i="33"/>
  <c r="F77" i="33" s="1"/>
  <c r="H77" i="33"/>
  <c r="H76" i="33"/>
  <c r="F76" i="33"/>
  <c r="H75" i="33"/>
  <c r="H74" i="33"/>
  <c r="F74" i="33"/>
  <c r="H73" i="33"/>
  <c r="H72" i="33"/>
  <c r="F72" i="33"/>
  <c r="H71" i="33"/>
  <c r="H70" i="33"/>
  <c r="F70" i="33"/>
  <c r="H69" i="33"/>
  <c r="H68" i="33"/>
  <c r="F68" i="33"/>
  <c r="H67" i="33"/>
  <c r="H66" i="33"/>
  <c r="F66" i="33"/>
  <c r="H65" i="33"/>
  <c r="H64" i="33"/>
  <c r="H78" i="33" s="1"/>
  <c r="F64" i="33"/>
  <c r="G60" i="33"/>
  <c r="E60" i="33"/>
  <c r="F58" i="33" s="1"/>
  <c r="H59" i="33"/>
  <c r="H58" i="33"/>
  <c r="H57" i="33"/>
  <c r="H56" i="33"/>
  <c r="H55" i="33"/>
  <c r="H54" i="33"/>
  <c r="H53" i="33"/>
  <c r="H52" i="33"/>
  <c r="F52" i="33"/>
  <c r="H51" i="33"/>
  <c r="H50" i="33"/>
  <c r="F50" i="33"/>
  <c r="H49" i="33"/>
  <c r="H48" i="33"/>
  <c r="F48" i="33"/>
  <c r="H47" i="33"/>
  <c r="H46" i="33"/>
  <c r="H60" i="33" s="1"/>
  <c r="F46" i="33"/>
  <c r="G41" i="33"/>
  <c r="E41" i="33"/>
  <c r="F40" i="33" s="1"/>
  <c r="H40" i="33"/>
  <c r="H39" i="33"/>
  <c r="H20" i="33" s="1"/>
  <c r="H38" i="33"/>
  <c r="H37" i="33"/>
  <c r="H18" i="33" s="1"/>
  <c r="H36" i="33"/>
  <c r="H35" i="33"/>
  <c r="H16" i="33" s="1"/>
  <c r="F35" i="33"/>
  <c r="H34" i="33"/>
  <c r="H33" i="33"/>
  <c r="H14" i="33" s="1"/>
  <c r="F33" i="33"/>
  <c r="F14" i="33" s="1"/>
  <c r="I14" i="33" s="1"/>
  <c r="H32" i="33"/>
  <c r="H31" i="33"/>
  <c r="H12" i="33" s="1"/>
  <c r="F31" i="33"/>
  <c r="F12" i="33" s="1"/>
  <c r="I12" i="33" s="1"/>
  <c r="H30" i="33"/>
  <c r="H29" i="33"/>
  <c r="H10" i="33" s="1"/>
  <c r="F29" i="33"/>
  <c r="F10" i="33" s="1"/>
  <c r="H28" i="33"/>
  <c r="H27" i="33"/>
  <c r="H41" i="33" s="1"/>
  <c r="F27" i="33"/>
  <c r="G22" i="33"/>
  <c r="E22" i="33"/>
  <c r="H21" i="33"/>
  <c r="H19" i="33"/>
  <c r="H17" i="33"/>
  <c r="H15" i="33"/>
  <c r="H13" i="33"/>
  <c r="H11" i="33"/>
  <c r="H9" i="33"/>
  <c r="I10" i="33" l="1"/>
  <c r="F37" i="33"/>
  <c r="F18" i="33" s="1"/>
  <c r="I18" i="33" s="1"/>
  <c r="F39" i="33"/>
  <c r="F20" i="33" s="1"/>
  <c r="I20" i="33" s="1"/>
  <c r="F8" i="33"/>
  <c r="F28" i="33"/>
  <c r="F30" i="33"/>
  <c r="F32" i="33"/>
  <c r="F13" i="33" s="1"/>
  <c r="I13" i="33" s="1"/>
  <c r="F34" i="33"/>
  <c r="F36" i="33"/>
  <c r="F38" i="33"/>
  <c r="F47" i="33"/>
  <c r="F60" i="33" s="1"/>
  <c r="F49" i="33"/>
  <c r="F51" i="33"/>
  <c r="F53" i="33"/>
  <c r="F55" i="33"/>
  <c r="F57" i="33"/>
  <c r="F59" i="33"/>
  <c r="F21" i="33" s="1"/>
  <c r="I21" i="33" s="1"/>
  <c r="F65" i="33"/>
  <c r="F67" i="33"/>
  <c r="F78" i="33" s="1"/>
  <c r="F69" i="33"/>
  <c r="F71" i="33"/>
  <c r="F73" i="33"/>
  <c r="F75" i="33"/>
  <c r="F54" i="33"/>
  <c r="F16" i="33" s="1"/>
  <c r="I16" i="33" s="1"/>
  <c r="F56" i="33"/>
  <c r="H8" i="33"/>
  <c r="H22" i="33" s="1"/>
  <c r="F19" i="33" l="1"/>
  <c r="I19" i="33" s="1"/>
  <c r="F11" i="33"/>
  <c r="I11" i="33" s="1"/>
  <c r="F17" i="33"/>
  <c r="I17" i="33" s="1"/>
  <c r="F9" i="33"/>
  <c r="I9" i="33" s="1"/>
  <c r="F15" i="33"/>
  <c r="I15" i="33" s="1"/>
  <c r="I8" i="33"/>
  <c r="F41" i="33"/>
  <c r="J22" i="33" l="1"/>
  <c r="I22" i="33"/>
  <c r="F22" i="33"/>
  <c r="D72" i="24" l="1"/>
  <c r="D50" i="24"/>
  <c r="F27" i="24"/>
  <c r="D27" i="24"/>
  <c r="E35" i="24" l="1"/>
  <c r="E39" i="24"/>
  <c r="E43" i="24"/>
  <c r="E58" i="24"/>
  <c r="E62" i="24"/>
  <c r="E66" i="24"/>
  <c r="E70" i="24"/>
  <c r="G78" i="24"/>
  <c r="E68" i="24"/>
  <c r="E36" i="24"/>
  <c r="E40" i="24"/>
  <c r="E44" i="24"/>
  <c r="E48" i="24"/>
  <c r="E33" i="24"/>
  <c r="E37" i="24"/>
  <c r="E41" i="24"/>
  <c r="E56" i="24"/>
  <c r="E60" i="24"/>
  <c r="E64" i="24"/>
  <c r="E34" i="24"/>
  <c r="E38" i="24"/>
  <c r="E42" i="24"/>
  <c r="E46" i="24"/>
  <c r="E55" i="24"/>
  <c r="E57" i="24"/>
  <c r="E59" i="24"/>
  <c r="E61" i="24"/>
  <c r="E63" i="24"/>
  <c r="E65" i="24"/>
  <c r="E67" i="24"/>
  <c r="E69" i="24"/>
  <c r="E71" i="24"/>
  <c r="G91" i="24"/>
  <c r="E45" i="24"/>
  <c r="E47" i="24"/>
  <c r="E49" i="24"/>
  <c r="G61" i="24"/>
  <c r="E82" i="24"/>
  <c r="D94" i="24"/>
  <c r="E89" i="24" s="1"/>
  <c r="F94" i="24"/>
  <c r="G80" i="24" s="1"/>
  <c r="F50" i="24"/>
  <c r="G35" i="24" s="1"/>
  <c r="F72" i="24"/>
  <c r="G56" i="24" s="1"/>
  <c r="G62" i="24" l="1"/>
  <c r="G57" i="24"/>
  <c r="G70" i="24"/>
  <c r="G69" i="24"/>
  <c r="G65" i="24"/>
  <c r="G87" i="24"/>
  <c r="G83" i="24"/>
  <c r="G90" i="24"/>
  <c r="G79" i="24"/>
  <c r="G12" i="24" s="1"/>
  <c r="G86" i="24"/>
  <c r="E90" i="24"/>
  <c r="E23" i="24" s="1"/>
  <c r="E88" i="24"/>
  <c r="E21" i="24" s="1"/>
  <c r="E80" i="24"/>
  <c r="E13" i="24" s="1"/>
  <c r="G67" i="24"/>
  <c r="G59" i="24"/>
  <c r="G89" i="24"/>
  <c r="G81" i="24"/>
  <c r="G48" i="24"/>
  <c r="G40" i="24"/>
  <c r="G17" i="24" s="1"/>
  <c r="E85" i="24"/>
  <c r="E18" i="24" s="1"/>
  <c r="E50" i="24"/>
  <c r="E87" i="24"/>
  <c r="G68" i="24"/>
  <c r="G60" i="24"/>
  <c r="G92" i="24"/>
  <c r="G84" i="24"/>
  <c r="G49" i="24"/>
  <c r="G41" i="24"/>
  <c r="G33" i="24"/>
  <c r="E86" i="24"/>
  <c r="E19" i="24" s="1"/>
  <c r="E78" i="24"/>
  <c r="E11" i="24" s="1"/>
  <c r="E22" i="24"/>
  <c r="G46" i="24"/>
  <c r="G38" i="24"/>
  <c r="E81" i="24"/>
  <c r="E14" i="24" s="1"/>
  <c r="E15" i="24"/>
  <c r="E93" i="24"/>
  <c r="E26" i="24" s="1"/>
  <c r="E83" i="24"/>
  <c r="E16" i="24" s="1"/>
  <c r="G66" i="24"/>
  <c r="G58" i="24"/>
  <c r="G82" i="24"/>
  <c r="G47" i="24"/>
  <c r="G39" i="24"/>
  <c r="E20" i="24"/>
  <c r="E92" i="24"/>
  <c r="E84" i="24"/>
  <c r="E17" i="24" s="1"/>
  <c r="G71" i="24"/>
  <c r="G63" i="24"/>
  <c r="G55" i="24"/>
  <c r="G93" i="24"/>
  <c r="G85" i="24"/>
  <c r="G77" i="24"/>
  <c r="G44" i="24"/>
  <c r="G36" i="24"/>
  <c r="E77" i="24"/>
  <c r="E91" i="24"/>
  <c r="E24" i="24" s="1"/>
  <c r="E79" i="24"/>
  <c r="E12" i="24" s="1"/>
  <c r="G64" i="24"/>
  <c r="G88" i="24"/>
  <c r="G45" i="24"/>
  <c r="G22" i="24" s="1"/>
  <c r="G37" i="24"/>
  <c r="E72" i="24"/>
  <c r="G42" i="24"/>
  <c r="G34" i="24"/>
  <c r="G11" i="24" s="1"/>
  <c r="E25" i="24"/>
  <c r="G43" i="24"/>
  <c r="G20" i="24" s="1"/>
  <c r="G24" i="24" l="1"/>
  <c r="H24" i="24"/>
  <c r="I24" i="24" s="1"/>
  <c r="G14" i="24"/>
  <c r="H14" i="24" s="1"/>
  <c r="I14" i="24" s="1"/>
  <c r="G94" i="24"/>
  <c r="G16" i="24"/>
  <c r="H16" i="24" s="1"/>
  <c r="I16" i="24" s="1"/>
  <c r="H12" i="24"/>
  <c r="I12" i="24" s="1"/>
  <c r="G21" i="24"/>
  <c r="H21" i="24" s="1"/>
  <c r="I21" i="24" s="1"/>
  <c r="G23" i="24"/>
  <c r="H23" i="24" s="1"/>
  <c r="I23" i="24" s="1"/>
  <c r="H17" i="24"/>
  <c r="I17" i="24" s="1"/>
  <c r="G19" i="24"/>
  <c r="H19" i="24" s="1"/>
  <c r="I19" i="24" s="1"/>
  <c r="G72" i="24"/>
  <c r="G15" i="24"/>
  <c r="H15" i="24" s="1"/>
  <c r="I15" i="24" s="1"/>
  <c r="H20" i="24"/>
  <c r="I20" i="24" s="1"/>
  <c r="G50" i="24"/>
  <c r="G10" i="24"/>
  <c r="H11" i="24"/>
  <c r="I11" i="24" s="1"/>
  <c r="E94" i="24"/>
  <c r="H22" i="24"/>
  <c r="I22" i="24" s="1"/>
  <c r="G18" i="24"/>
  <c r="H18" i="24" s="1"/>
  <c r="I18" i="24" s="1"/>
  <c r="G13" i="24"/>
  <c r="H13" i="24" s="1"/>
  <c r="I13" i="24" s="1"/>
  <c r="G26" i="24"/>
  <c r="H26" i="24" s="1"/>
  <c r="I26" i="24" s="1"/>
  <c r="E10" i="24"/>
  <c r="G25" i="24"/>
  <c r="H25" i="24" s="1"/>
  <c r="I25" i="24" s="1"/>
  <c r="E27" i="24" l="1"/>
  <c r="H10" i="24"/>
  <c r="G27" i="24"/>
  <c r="H27" i="24" l="1"/>
  <c r="I10" i="24"/>
  <c r="I27" i="24" s="1"/>
  <c r="G43" i="10" l="1"/>
  <c r="G42" i="10"/>
  <c r="G37" i="10"/>
  <c r="G36" i="10"/>
  <c r="G35" i="10"/>
  <c r="G34" i="10"/>
  <c r="G33" i="10"/>
  <c r="G31" i="10"/>
  <c r="G30" i="10"/>
  <c r="G29" i="10"/>
  <c r="G28" i="10"/>
  <c r="G26" i="10"/>
  <c r="G25" i="10"/>
  <c r="G24" i="10"/>
  <c r="G23" i="10"/>
  <c r="G20" i="10"/>
  <c r="G19" i="10"/>
  <c r="G32" i="10"/>
  <c r="G27" i="10"/>
  <c r="G22" i="10"/>
  <c r="G21" i="10"/>
  <c r="G18" i="10"/>
  <c r="S39" i="18"/>
  <c r="Q39" i="18"/>
  <c r="R35" i="18" s="1"/>
  <c r="R7" i="18" s="1"/>
  <c r="T38" i="18"/>
  <c r="T37" i="18"/>
  <c r="T36" i="18"/>
  <c r="T35" i="18"/>
  <c r="T34" i="18"/>
  <c r="T39" i="18" s="1"/>
  <c r="S32" i="18"/>
  <c r="T31" i="18" s="1"/>
  <c r="Q32" i="18"/>
  <c r="G32" i="18"/>
  <c r="F32" i="18"/>
  <c r="E32" i="18"/>
  <c r="R31" i="18"/>
  <c r="G31" i="18"/>
  <c r="H31" i="18" s="1"/>
  <c r="R30" i="18"/>
  <c r="G30" i="18"/>
  <c r="H30" i="18" s="1"/>
  <c r="R29" i="18"/>
  <c r="G29" i="18"/>
  <c r="H29" i="18" s="1"/>
  <c r="R28" i="18"/>
  <c r="G28" i="18"/>
  <c r="H28" i="18" s="1"/>
  <c r="R27" i="18"/>
  <c r="R32" i="18" s="1"/>
  <c r="G27" i="18"/>
  <c r="H27" i="18" s="1"/>
  <c r="S25" i="18"/>
  <c r="T24" i="18" s="1"/>
  <c r="Q25" i="18"/>
  <c r="G25" i="18"/>
  <c r="F25" i="18"/>
  <c r="E25" i="18"/>
  <c r="R24" i="18"/>
  <c r="G24" i="18"/>
  <c r="H24" i="18" s="1"/>
  <c r="R23" i="18"/>
  <c r="G23" i="18"/>
  <c r="H23" i="18" s="1"/>
  <c r="R22" i="18"/>
  <c r="G22" i="18"/>
  <c r="H22" i="18" s="1"/>
  <c r="R21" i="18"/>
  <c r="G21" i="18"/>
  <c r="H21" i="18" s="1"/>
  <c r="R20" i="18"/>
  <c r="R25" i="18" s="1"/>
  <c r="G20" i="18"/>
  <c r="H20" i="18" s="1"/>
  <c r="P18" i="18"/>
  <c r="M18" i="18"/>
  <c r="L18" i="18"/>
  <c r="K18" i="18"/>
  <c r="I18" i="18"/>
  <c r="F18" i="18"/>
  <c r="E18" i="18"/>
  <c r="C18" i="18"/>
  <c r="N17" i="18"/>
  <c r="N10" i="18" s="1"/>
  <c r="J17" i="18"/>
  <c r="G17" i="18"/>
  <c r="D17" i="18"/>
  <c r="D10" i="18" s="1"/>
  <c r="N16" i="18"/>
  <c r="J16" i="18"/>
  <c r="G16" i="18"/>
  <c r="D16" i="18"/>
  <c r="N15" i="18"/>
  <c r="J15" i="18"/>
  <c r="G15" i="18"/>
  <c r="D15" i="18"/>
  <c r="N14" i="18"/>
  <c r="J14" i="18"/>
  <c r="J18" i="18" s="1"/>
  <c r="G14" i="18"/>
  <c r="D14" i="18"/>
  <c r="N13" i="18"/>
  <c r="N6" i="18" s="1"/>
  <c r="N11" i="18" s="1"/>
  <c r="J13" i="18"/>
  <c r="G13" i="18"/>
  <c r="D13" i="18"/>
  <c r="D6" i="18" s="1"/>
  <c r="P10" i="18"/>
  <c r="L10" i="18"/>
  <c r="J10" i="18"/>
  <c r="P9" i="18"/>
  <c r="N9" i="18"/>
  <c r="L9" i="18"/>
  <c r="J9" i="18"/>
  <c r="D9" i="18"/>
  <c r="P8" i="18"/>
  <c r="N8" i="18"/>
  <c r="L8" i="18"/>
  <c r="J8" i="18"/>
  <c r="D8" i="18"/>
  <c r="P7" i="18"/>
  <c r="N7" i="18"/>
  <c r="L7" i="18"/>
  <c r="J7" i="18"/>
  <c r="J11" i="18" s="1"/>
  <c r="D7" i="18"/>
  <c r="P6" i="18"/>
  <c r="P11" i="18" s="1"/>
  <c r="L6" i="18"/>
  <c r="L11" i="18" s="1"/>
  <c r="J6" i="18"/>
  <c r="U3" i="18"/>
  <c r="S89" i="17"/>
  <c r="Q89" i="17"/>
  <c r="R88" i="17" s="1"/>
  <c r="T88" i="17"/>
  <c r="T87" i="17"/>
  <c r="R87" i="17"/>
  <c r="T86" i="17"/>
  <c r="T85" i="17"/>
  <c r="R85" i="17"/>
  <c r="T84" i="17"/>
  <c r="T83" i="17"/>
  <c r="R83" i="17"/>
  <c r="T82" i="17"/>
  <c r="T81" i="17"/>
  <c r="R81" i="17"/>
  <c r="T80" i="17"/>
  <c r="T79" i="17"/>
  <c r="R79" i="17"/>
  <c r="T78" i="17"/>
  <c r="T77" i="17"/>
  <c r="R77" i="17"/>
  <c r="T76" i="17"/>
  <c r="T75" i="17"/>
  <c r="R75" i="17"/>
  <c r="T74" i="17"/>
  <c r="T89" i="17" s="1"/>
  <c r="S72" i="17"/>
  <c r="T71" i="17" s="1"/>
  <c r="Q72" i="17"/>
  <c r="G72" i="17"/>
  <c r="H71" i="17" s="1"/>
  <c r="F72" i="17"/>
  <c r="E72" i="17"/>
  <c r="R71" i="17"/>
  <c r="G71" i="17"/>
  <c r="R70" i="17"/>
  <c r="G70" i="17"/>
  <c r="R69" i="17"/>
  <c r="G69" i="17"/>
  <c r="R68" i="17"/>
  <c r="G68" i="17"/>
  <c r="R67" i="17"/>
  <c r="G67" i="17"/>
  <c r="H67" i="17" s="1"/>
  <c r="R66" i="17"/>
  <c r="G66" i="17"/>
  <c r="H66" i="17" s="1"/>
  <c r="R65" i="17"/>
  <c r="G65" i="17"/>
  <c r="H65" i="17" s="1"/>
  <c r="R64" i="17"/>
  <c r="G64" i="17"/>
  <c r="H64" i="17" s="1"/>
  <c r="R63" i="17"/>
  <c r="G63" i="17"/>
  <c r="H63" i="17" s="1"/>
  <c r="R62" i="17"/>
  <c r="G62" i="17"/>
  <c r="H62" i="17" s="1"/>
  <c r="R61" i="17"/>
  <c r="G61" i="17"/>
  <c r="H61" i="17" s="1"/>
  <c r="R60" i="17"/>
  <c r="G60" i="17"/>
  <c r="H60" i="17" s="1"/>
  <c r="R59" i="17"/>
  <c r="G59" i="17"/>
  <c r="H59" i="17" s="1"/>
  <c r="R58" i="17"/>
  <c r="G58" i="17"/>
  <c r="H58" i="17" s="1"/>
  <c r="R57" i="17"/>
  <c r="R72" i="17" s="1"/>
  <c r="G57" i="17"/>
  <c r="H57" i="17" s="1"/>
  <c r="S55" i="17"/>
  <c r="T54" i="17" s="1"/>
  <c r="T20" i="17" s="1"/>
  <c r="Q55" i="17"/>
  <c r="G55" i="17"/>
  <c r="F55" i="17"/>
  <c r="E55" i="17"/>
  <c r="R54" i="17"/>
  <c r="G54" i="17"/>
  <c r="H54" i="17" s="1"/>
  <c r="R53" i="17"/>
  <c r="G53" i="17"/>
  <c r="H53" i="17" s="1"/>
  <c r="R52" i="17"/>
  <c r="G52" i="17"/>
  <c r="H52" i="17" s="1"/>
  <c r="R51" i="17"/>
  <c r="R17" i="17" s="1"/>
  <c r="G51" i="17"/>
  <c r="H51" i="17" s="1"/>
  <c r="R50" i="17"/>
  <c r="G50" i="17"/>
  <c r="H50" i="17" s="1"/>
  <c r="R49" i="17"/>
  <c r="G49" i="17"/>
  <c r="H49" i="17" s="1"/>
  <c r="R48" i="17"/>
  <c r="G48" i="17"/>
  <c r="H48" i="17" s="1"/>
  <c r="R47" i="17"/>
  <c r="R13" i="17" s="1"/>
  <c r="G47" i="17"/>
  <c r="H47" i="17" s="1"/>
  <c r="R46" i="17"/>
  <c r="G46" i="17"/>
  <c r="H46" i="17" s="1"/>
  <c r="R45" i="17"/>
  <c r="G45" i="17"/>
  <c r="H45" i="17" s="1"/>
  <c r="R44" i="17"/>
  <c r="G44" i="17"/>
  <c r="H44" i="17" s="1"/>
  <c r="R43" i="17"/>
  <c r="R9" i="17" s="1"/>
  <c r="G43" i="17"/>
  <c r="H43" i="17" s="1"/>
  <c r="R42" i="17"/>
  <c r="G42" i="17"/>
  <c r="H42" i="17" s="1"/>
  <c r="R41" i="17"/>
  <c r="G41" i="17"/>
  <c r="H41" i="17" s="1"/>
  <c r="R40" i="17"/>
  <c r="R55" i="17" s="1"/>
  <c r="G40" i="17"/>
  <c r="H40" i="17" s="1"/>
  <c r="P38" i="17"/>
  <c r="O38" i="17"/>
  <c r="M38" i="17"/>
  <c r="L38" i="17"/>
  <c r="I38" i="17"/>
  <c r="F38" i="17"/>
  <c r="E38" i="17"/>
  <c r="C38" i="17"/>
  <c r="N37" i="17"/>
  <c r="N20" i="17" s="1"/>
  <c r="J37" i="17"/>
  <c r="G37" i="17"/>
  <c r="D37" i="17"/>
  <c r="D20" i="17" s="1"/>
  <c r="N36" i="17"/>
  <c r="J36" i="17"/>
  <c r="G36" i="17"/>
  <c r="D36" i="17"/>
  <c r="N35" i="17"/>
  <c r="J35" i="17"/>
  <c r="G35" i="17"/>
  <c r="D35" i="17"/>
  <c r="N34" i="17"/>
  <c r="J34" i="17"/>
  <c r="J17" i="17" s="1"/>
  <c r="G34" i="17"/>
  <c r="D34" i="17"/>
  <c r="N33" i="17"/>
  <c r="N16" i="17" s="1"/>
  <c r="J33" i="17"/>
  <c r="G33" i="17"/>
  <c r="D33" i="17"/>
  <c r="D16" i="17" s="1"/>
  <c r="N32" i="17"/>
  <c r="J32" i="17"/>
  <c r="G32" i="17"/>
  <c r="D32" i="17"/>
  <c r="N31" i="17"/>
  <c r="J31" i="17"/>
  <c r="G31" i="17"/>
  <c r="D31" i="17"/>
  <c r="N30" i="17"/>
  <c r="J30" i="17"/>
  <c r="J13" i="17" s="1"/>
  <c r="G30" i="17"/>
  <c r="D30" i="17"/>
  <c r="N29" i="17"/>
  <c r="N12" i="17" s="1"/>
  <c r="J29" i="17"/>
  <c r="G29" i="17"/>
  <c r="D29" i="17"/>
  <c r="D12" i="17" s="1"/>
  <c r="N28" i="17"/>
  <c r="J28" i="17"/>
  <c r="G28" i="17"/>
  <c r="D28" i="17"/>
  <c r="N27" i="17"/>
  <c r="J27" i="17"/>
  <c r="G27" i="17"/>
  <c r="D27" i="17"/>
  <c r="N26" i="17"/>
  <c r="J26" i="17"/>
  <c r="J38" i="17" s="1"/>
  <c r="G26" i="17"/>
  <c r="D26" i="17"/>
  <c r="N25" i="17"/>
  <c r="N8" i="17" s="1"/>
  <c r="N21" i="17" s="1"/>
  <c r="J25" i="17"/>
  <c r="G25" i="17"/>
  <c r="D25" i="17"/>
  <c r="D8" i="17" s="1"/>
  <c r="N24" i="17"/>
  <c r="J24" i="17"/>
  <c r="G24" i="17"/>
  <c r="D24" i="17"/>
  <c r="N23" i="17"/>
  <c r="N38" i="17" s="1"/>
  <c r="J23" i="17"/>
  <c r="G23" i="17"/>
  <c r="G38" i="17" s="1"/>
  <c r="D23" i="17"/>
  <c r="D38" i="17" s="1"/>
  <c r="P20" i="17"/>
  <c r="L20" i="17"/>
  <c r="J20" i="17"/>
  <c r="R19" i="17"/>
  <c r="P19" i="17"/>
  <c r="N19" i="17"/>
  <c r="L19" i="17"/>
  <c r="J19" i="17"/>
  <c r="D19" i="17"/>
  <c r="P18" i="17"/>
  <c r="N18" i="17"/>
  <c r="L18" i="17"/>
  <c r="J18" i="17"/>
  <c r="D18" i="17"/>
  <c r="P17" i="17"/>
  <c r="N17" i="17"/>
  <c r="L17" i="17"/>
  <c r="D17" i="17"/>
  <c r="P16" i="17"/>
  <c r="L16" i="17"/>
  <c r="J16" i="17"/>
  <c r="R15" i="17"/>
  <c r="P15" i="17"/>
  <c r="N15" i="17"/>
  <c r="L15" i="17"/>
  <c r="J15" i="17"/>
  <c r="D15" i="17"/>
  <c r="P14" i="17"/>
  <c r="N14" i="17"/>
  <c r="L14" i="17"/>
  <c r="J14" i="17"/>
  <c r="D14" i="17"/>
  <c r="P13" i="17"/>
  <c r="N13" i="17"/>
  <c r="L13" i="17"/>
  <c r="D13" i="17"/>
  <c r="P12" i="17"/>
  <c r="L12" i="17"/>
  <c r="J12" i="17"/>
  <c r="R11" i="17"/>
  <c r="P11" i="17"/>
  <c r="N11" i="17"/>
  <c r="L11" i="17"/>
  <c r="J11" i="17"/>
  <c r="D11" i="17"/>
  <c r="P10" i="17"/>
  <c r="N10" i="17"/>
  <c r="L10" i="17"/>
  <c r="J10" i="17"/>
  <c r="D10" i="17"/>
  <c r="P9" i="17"/>
  <c r="N9" i="17"/>
  <c r="L9" i="17"/>
  <c r="D9" i="17"/>
  <c r="P8" i="17"/>
  <c r="L8" i="17"/>
  <c r="J8" i="17"/>
  <c r="R7" i="17"/>
  <c r="P7" i="17"/>
  <c r="N7" i="17"/>
  <c r="L7" i="17"/>
  <c r="J7" i="17"/>
  <c r="D7" i="17"/>
  <c r="P6" i="17"/>
  <c r="P21" i="17" s="1"/>
  <c r="N6" i="17"/>
  <c r="L6" i="17"/>
  <c r="L21" i="17" s="1"/>
  <c r="J6" i="17"/>
  <c r="D6" i="17"/>
  <c r="U3" i="17"/>
  <c r="E20" i="16"/>
  <c r="F19" i="16"/>
  <c r="F18" i="16"/>
  <c r="F20" i="16" s="1"/>
  <c r="E16" i="16"/>
  <c r="F15" i="16"/>
  <c r="F14" i="16"/>
  <c r="F16" i="16" s="1"/>
  <c r="G12" i="16"/>
  <c r="E12" i="16"/>
  <c r="F10" i="16" s="1"/>
  <c r="C12" i="16"/>
  <c r="D11" i="16" s="1"/>
  <c r="D7" i="16" s="1"/>
  <c r="I7" i="16" s="1" a="1"/>
  <c r="I7" i="16" s="1"/>
  <c r="J7" i="16" s="1"/>
  <c r="H11" i="16"/>
  <c r="H7" i="16" s="1"/>
  <c r="F11" i="16"/>
  <c r="F7" i="16" s="1"/>
  <c r="H10" i="16"/>
  <c r="H12" i="16" s="1"/>
  <c r="D10" i="16"/>
  <c r="D12" i="16" s="1"/>
  <c r="H6" i="16"/>
  <c r="H8" i="16" s="1"/>
  <c r="I3" i="16"/>
  <c r="G41" i="10"/>
  <c r="G40" i="10"/>
  <c r="G39" i="10"/>
  <c r="G38" i="10"/>
  <c r="O34" i="15"/>
  <c r="P33" i="15"/>
  <c r="P32" i="15"/>
  <c r="P31" i="15"/>
  <c r="P34" i="15" s="1"/>
  <c r="P30" i="15"/>
  <c r="O28" i="15"/>
  <c r="P27" i="15" s="1"/>
  <c r="P9" i="15" s="1"/>
  <c r="D28" i="15"/>
  <c r="C28" i="15"/>
  <c r="E27" i="15"/>
  <c r="E26" i="15"/>
  <c r="E25" i="15"/>
  <c r="E24" i="15"/>
  <c r="E28" i="15" s="1"/>
  <c r="O22" i="15"/>
  <c r="D22" i="15"/>
  <c r="C22" i="15"/>
  <c r="P21" i="15"/>
  <c r="E21" i="15"/>
  <c r="P20" i="15"/>
  <c r="E20" i="15"/>
  <c r="P19" i="15"/>
  <c r="E19" i="15"/>
  <c r="P18" i="15"/>
  <c r="P22" i="15" s="1"/>
  <c r="E18" i="15"/>
  <c r="N16" i="15"/>
  <c r="L16" i="15"/>
  <c r="K16" i="15"/>
  <c r="J16" i="15"/>
  <c r="G16" i="15"/>
  <c r="H15" i="15" s="1"/>
  <c r="H9" i="15" s="1"/>
  <c r="D16" i="15"/>
  <c r="C16" i="15"/>
  <c r="L15" i="15"/>
  <c r="L9" i="15" s="1"/>
  <c r="E15" i="15"/>
  <c r="F15" i="15" s="1"/>
  <c r="L14" i="15"/>
  <c r="E14" i="15"/>
  <c r="L13" i="15"/>
  <c r="E13" i="15"/>
  <c r="F13" i="15" s="1"/>
  <c r="L12" i="15"/>
  <c r="E12" i="15"/>
  <c r="E16" i="15" s="1"/>
  <c r="N9" i="15"/>
  <c r="J9" i="15"/>
  <c r="N8" i="15"/>
  <c r="L8" i="15"/>
  <c r="J8" i="15"/>
  <c r="N7" i="15"/>
  <c r="L7" i="15"/>
  <c r="J7" i="15"/>
  <c r="N6" i="15"/>
  <c r="N10" i="15" s="1"/>
  <c r="L6" i="15"/>
  <c r="L10" i="15" s="1"/>
  <c r="J6" i="15"/>
  <c r="J10" i="15" s="1"/>
  <c r="Q3" i="15"/>
  <c r="N31" i="20"/>
  <c r="N30" i="20"/>
  <c r="N29" i="20"/>
  <c r="N28" i="20"/>
  <c r="N13" i="20" s="1"/>
  <c r="N27" i="20"/>
  <c r="N26" i="20"/>
  <c r="N25" i="20"/>
  <c r="N24" i="20"/>
  <c r="N9" i="20" s="1"/>
  <c r="N23" i="20"/>
  <c r="N8" i="20" s="1"/>
  <c r="L31" i="20"/>
  <c r="L30" i="20"/>
  <c r="L29" i="20"/>
  <c r="L28" i="20"/>
  <c r="L13" i="20" s="1"/>
  <c r="L27" i="20"/>
  <c r="L26" i="20"/>
  <c r="L25" i="20"/>
  <c r="L24" i="20"/>
  <c r="L23" i="20"/>
  <c r="L8" i="20" s="1"/>
  <c r="N16" i="20"/>
  <c r="N15" i="20"/>
  <c r="N14" i="20"/>
  <c r="N12" i="20"/>
  <c r="N11" i="20"/>
  <c r="N10" i="20"/>
  <c r="L16" i="20"/>
  <c r="L15" i="20"/>
  <c r="L14" i="20"/>
  <c r="L12" i="20"/>
  <c r="L11" i="20"/>
  <c r="L10" i="20"/>
  <c r="L9" i="20"/>
  <c r="M32" i="20"/>
  <c r="K32" i="20"/>
  <c r="I16" i="20"/>
  <c r="I15" i="20"/>
  <c r="I14" i="20"/>
  <c r="I13" i="20"/>
  <c r="I12" i="20"/>
  <c r="I11" i="20"/>
  <c r="I10" i="20"/>
  <c r="I9" i="20"/>
  <c r="I17" i="20" s="1"/>
  <c r="I8" i="20"/>
  <c r="O5" i="20"/>
  <c r="E17" i="20"/>
  <c r="F8" i="20" s="1"/>
  <c r="H17" i="20"/>
  <c r="K17" i="20"/>
  <c r="M17" i="20"/>
  <c r="K45" i="20"/>
  <c r="L37" i="20" s="1"/>
  <c r="M45" i="20"/>
  <c r="N36" i="20" s="1"/>
  <c r="K58" i="20"/>
  <c r="L49" i="20" s="1"/>
  <c r="M58" i="20"/>
  <c r="N50" i="20" s="1"/>
  <c r="T10" i="18" l="1"/>
  <c r="R9" i="18"/>
  <c r="H32" i="18"/>
  <c r="D11" i="18"/>
  <c r="H25" i="18"/>
  <c r="R6" i="18"/>
  <c r="G18" i="18"/>
  <c r="H15" i="18" s="1"/>
  <c r="H8" i="18" s="1"/>
  <c r="T20" i="18"/>
  <c r="T21" i="18"/>
  <c r="T22" i="18"/>
  <c r="T23" i="18"/>
  <c r="T27" i="18"/>
  <c r="T28" i="18"/>
  <c r="T29" i="18"/>
  <c r="T30" i="18"/>
  <c r="N18" i="18"/>
  <c r="R37" i="18"/>
  <c r="D18" i="18"/>
  <c r="R34" i="18"/>
  <c r="R36" i="18"/>
  <c r="R8" i="18" s="1"/>
  <c r="R38" i="18"/>
  <c r="R10" i="18" s="1"/>
  <c r="D21" i="17"/>
  <c r="H55" i="17"/>
  <c r="H34" i="17"/>
  <c r="H17" i="17" s="1"/>
  <c r="H30" i="17"/>
  <c r="H13" i="17" s="1"/>
  <c r="H26" i="17"/>
  <c r="H9" i="17" s="1"/>
  <c r="H35" i="17"/>
  <c r="H31" i="17"/>
  <c r="H14" i="17" s="1"/>
  <c r="H27" i="17"/>
  <c r="H10" i="17" s="1"/>
  <c r="H23" i="17"/>
  <c r="H24" i="17"/>
  <c r="H7" i="17" s="1"/>
  <c r="H25" i="17"/>
  <c r="H8" i="17" s="1"/>
  <c r="H28" i="17"/>
  <c r="H11" i="17" s="1"/>
  <c r="U11" i="17" s="1" a="1"/>
  <c r="U11" i="17" s="1"/>
  <c r="V11" i="17" s="1"/>
  <c r="H29" i="17"/>
  <c r="H12" i="17" s="1"/>
  <c r="H32" i="17"/>
  <c r="H15" i="17" s="1"/>
  <c r="U15" i="17" s="1" a="1"/>
  <c r="U15" i="17" s="1"/>
  <c r="V15" i="17" s="1"/>
  <c r="H33" i="17"/>
  <c r="H16" i="17" s="1"/>
  <c r="H36" i="17"/>
  <c r="H37" i="17"/>
  <c r="H20" i="17" s="1"/>
  <c r="U20" i="17" s="1" a="1"/>
  <c r="U20" i="17" s="1"/>
  <c r="V20" i="17" s="1"/>
  <c r="R10" i="17"/>
  <c r="R18" i="17"/>
  <c r="R20" i="17"/>
  <c r="T40" i="17"/>
  <c r="T41" i="17"/>
  <c r="T7" i="17" s="1"/>
  <c r="U7" i="17" s="1" a="1"/>
  <c r="U7" i="17" s="1"/>
  <c r="V7" i="17" s="1"/>
  <c r="T42" i="17"/>
  <c r="T43" i="17"/>
  <c r="T44" i="17"/>
  <c r="T45" i="17"/>
  <c r="T11" i="17" s="1"/>
  <c r="T46" i="17"/>
  <c r="T47" i="17"/>
  <c r="T48" i="17"/>
  <c r="T49" i="17"/>
  <c r="T15" i="17" s="1"/>
  <c r="T50" i="17"/>
  <c r="T51" i="17"/>
  <c r="T52" i="17"/>
  <c r="T18" i="17" s="1"/>
  <c r="T53" i="17"/>
  <c r="T19" i="17" s="1"/>
  <c r="T57" i="17"/>
  <c r="T58" i="17"/>
  <c r="T59" i="17"/>
  <c r="T60" i="17"/>
  <c r="T61" i="17"/>
  <c r="T62" i="17"/>
  <c r="T63" i="17"/>
  <c r="T64" i="17"/>
  <c r="T65" i="17"/>
  <c r="T66" i="17"/>
  <c r="T67" i="17"/>
  <c r="T68" i="17"/>
  <c r="T69" i="17"/>
  <c r="T70" i="17"/>
  <c r="J9" i="17"/>
  <c r="J21" i="17" s="1"/>
  <c r="R74" i="17"/>
  <c r="R89" i="17" s="1"/>
  <c r="R76" i="17"/>
  <c r="R8" i="17" s="1"/>
  <c r="R78" i="17"/>
  <c r="R80" i="17"/>
  <c r="R12" i="17" s="1"/>
  <c r="R82" i="17"/>
  <c r="R14" i="17" s="1"/>
  <c r="R84" i="17"/>
  <c r="R16" i="17" s="1"/>
  <c r="R86" i="17"/>
  <c r="H68" i="17"/>
  <c r="H72" i="17" s="1"/>
  <c r="H69" i="17"/>
  <c r="H70" i="17"/>
  <c r="F12" i="16"/>
  <c r="F6" i="16"/>
  <c r="F8" i="16" s="1"/>
  <c r="D6" i="16"/>
  <c r="P7" i="15"/>
  <c r="F26" i="15"/>
  <c r="F25" i="15"/>
  <c r="F14" i="15"/>
  <c r="F27" i="15"/>
  <c r="E22" i="15"/>
  <c r="F12" i="15"/>
  <c r="F24" i="15"/>
  <c r="F28" i="15" s="1"/>
  <c r="P25" i="15"/>
  <c r="P26" i="15"/>
  <c r="P8" i="15" s="1"/>
  <c r="H12" i="15"/>
  <c r="H13" i="15"/>
  <c r="H7" i="15" s="1"/>
  <c r="H14" i="15"/>
  <c r="H8" i="15" s="1"/>
  <c r="P24" i="15"/>
  <c r="P28" i="15" s="1"/>
  <c r="L32" i="20"/>
  <c r="L38" i="20"/>
  <c r="L36" i="20"/>
  <c r="J14" i="20"/>
  <c r="L42" i="20"/>
  <c r="L44" i="20"/>
  <c r="L40" i="20"/>
  <c r="J9" i="20"/>
  <c r="J16" i="20"/>
  <c r="J10" i="20"/>
  <c r="J12" i="20"/>
  <c r="L56" i="20"/>
  <c r="L50" i="20"/>
  <c r="J15" i="20"/>
  <c r="F13" i="20"/>
  <c r="J11" i="20"/>
  <c r="F9" i="20"/>
  <c r="N57" i="20"/>
  <c r="N55" i="20"/>
  <c r="N53" i="20"/>
  <c r="N51" i="20"/>
  <c r="N49" i="20"/>
  <c r="N43" i="20"/>
  <c r="N41" i="20"/>
  <c r="N39" i="20"/>
  <c r="N37" i="20"/>
  <c r="F14" i="20"/>
  <c r="F10" i="20"/>
  <c r="J8" i="20"/>
  <c r="L54" i="20"/>
  <c r="L52" i="20"/>
  <c r="L57" i="20"/>
  <c r="L55" i="20"/>
  <c r="L53" i="20"/>
  <c r="L51" i="20"/>
  <c r="L43" i="20"/>
  <c r="L41" i="20"/>
  <c r="L39" i="20"/>
  <c r="G17" i="20"/>
  <c r="F15" i="20"/>
  <c r="J13" i="20"/>
  <c r="F11" i="20"/>
  <c r="N56" i="20"/>
  <c r="N54" i="20"/>
  <c r="N52" i="20"/>
  <c r="N44" i="20"/>
  <c r="N42" i="20"/>
  <c r="N40" i="20"/>
  <c r="N38" i="20"/>
  <c r="F16" i="20"/>
  <c r="F12" i="20"/>
  <c r="T7" i="18" l="1"/>
  <c r="T8" i="18"/>
  <c r="U8" i="18" s="1" a="1"/>
  <c r="U8" i="18" s="1"/>
  <c r="V8" i="18" s="1"/>
  <c r="T32" i="18"/>
  <c r="T6" i="18"/>
  <c r="T25" i="18"/>
  <c r="H16" i="18"/>
  <c r="H9" i="18" s="1"/>
  <c r="U9" i="18" s="1" a="1"/>
  <c r="U9" i="18" s="1"/>
  <c r="V9" i="18" s="1"/>
  <c r="H17" i="18"/>
  <c r="H10" i="18" s="1"/>
  <c r="U10" i="18" s="1" a="1"/>
  <c r="U10" i="18" s="1"/>
  <c r="V10" i="18" s="1"/>
  <c r="R11" i="18"/>
  <c r="R39" i="18"/>
  <c r="T9" i="18"/>
  <c r="H13" i="18"/>
  <c r="H14" i="18"/>
  <c r="H7" i="18" s="1"/>
  <c r="U7" i="18" s="1" a="1"/>
  <c r="U7" i="18" s="1"/>
  <c r="V7" i="18" s="1"/>
  <c r="U13" i="17" a="1"/>
  <c r="U13" i="17" s="1"/>
  <c r="V13" i="17" s="1"/>
  <c r="U12" i="17" a="1"/>
  <c r="U12" i="17" s="1"/>
  <c r="V12" i="17" s="1"/>
  <c r="T14" i="17"/>
  <c r="U14" i="17" s="1" a="1"/>
  <c r="U14" i="17" s="1"/>
  <c r="V14" i="17" s="1"/>
  <c r="T10" i="17"/>
  <c r="U10" i="17" s="1" a="1"/>
  <c r="U10" i="17" s="1"/>
  <c r="V10" i="17" s="1"/>
  <c r="T6" i="17"/>
  <c r="T55" i="17"/>
  <c r="H18" i="17"/>
  <c r="U18" i="17" s="1" a="1"/>
  <c r="U18" i="17" s="1"/>
  <c r="V18" i="17" s="1"/>
  <c r="T13" i="17"/>
  <c r="T17" i="17"/>
  <c r="U17" i="17" s="1" a="1"/>
  <c r="U17" i="17" s="1"/>
  <c r="V17" i="17" s="1"/>
  <c r="T9" i="17"/>
  <c r="U9" i="17" s="1" a="1"/>
  <c r="U9" i="17" s="1"/>
  <c r="V9" i="17" s="1"/>
  <c r="R6" i="17"/>
  <c r="R21" i="17" s="1"/>
  <c r="H38" i="17"/>
  <c r="H6" i="17"/>
  <c r="T72" i="17"/>
  <c r="T16" i="17"/>
  <c r="U16" i="17" s="1" a="1"/>
  <c r="U16" i="17" s="1"/>
  <c r="V16" i="17" s="1"/>
  <c r="T12" i="17"/>
  <c r="T8" i="17"/>
  <c r="U8" i="17" s="1" a="1"/>
  <c r="U8" i="17" s="1"/>
  <c r="V8" i="17" s="1"/>
  <c r="H19" i="17"/>
  <c r="U19" i="17" s="1" a="1"/>
  <c r="U19" i="17" s="1"/>
  <c r="V19" i="17" s="1"/>
  <c r="D8" i="16"/>
  <c r="I6" i="16" a="1"/>
  <c r="I6" i="16" s="1"/>
  <c r="P6" i="15"/>
  <c r="P10" i="15" s="1"/>
  <c r="F8" i="15"/>
  <c r="Q8" i="15" s="1" a="1"/>
  <c r="Q8" i="15" s="1"/>
  <c r="R8" i="15" s="1"/>
  <c r="F18" i="15"/>
  <c r="F22" i="15" s="1"/>
  <c r="F21" i="15"/>
  <c r="F9" i="15" s="1"/>
  <c r="Q9" i="15" s="1" a="1"/>
  <c r="Q9" i="15" s="1"/>
  <c r="R9" i="15" s="1"/>
  <c r="F20" i="15"/>
  <c r="H6" i="15"/>
  <c r="H10" i="15" s="1"/>
  <c r="H16" i="15"/>
  <c r="F16" i="15"/>
  <c r="F19" i="15"/>
  <c r="F7" i="15" s="1"/>
  <c r="Q7" i="15" s="1" a="1"/>
  <c r="Q7" i="15" s="1"/>
  <c r="R7" i="15" s="1"/>
  <c r="N32" i="20"/>
  <c r="O11" i="20"/>
  <c r="P11" i="20" s="1"/>
  <c r="L58" i="20"/>
  <c r="N58" i="20"/>
  <c r="O16" i="20"/>
  <c r="P16" i="20" s="1"/>
  <c r="J17" i="20"/>
  <c r="O10" i="20"/>
  <c r="P10" i="20" s="1"/>
  <c r="N45" i="20"/>
  <c r="O12" i="20"/>
  <c r="P12" i="20" s="1"/>
  <c r="F17" i="20"/>
  <c r="L17" i="20"/>
  <c r="O14" i="20"/>
  <c r="P14" i="20" s="1"/>
  <c r="O9" i="20"/>
  <c r="P9" i="20" s="1"/>
  <c r="L45" i="20"/>
  <c r="H6" i="18" l="1"/>
  <c r="H18" i="18"/>
  <c r="T11" i="18"/>
  <c r="H21" i="17"/>
  <c r="U6" i="17" a="1"/>
  <c r="U6" i="17" s="1"/>
  <c r="T21" i="17"/>
  <c r="I8" i="16"/>
  <c r="J6" i="16"/>
  <c r="J8" i="16" s="1"/>
  <c r="F6" i="15"/>
  <c r="O15" i="20"/>
  <c r="P15" i="20" s="1"/>
  <c r="O13" i="20"/>
  <c r="P13" i="20" s="1"/>
  <c r="N17" i="20"/>
  <c r="O8" i="20"/>
  <c r="H11" i="18" l="1"/>
  <c r="U6" i="18" a="1"/>
  <c r="U6" i="18" s="1"/>
  <c r="U21" i="17"/>
  <c r="V6" i="17"/>
  <c r="V21" i="17" s="1"/>
  <c r="Q6" i="15" a="1"/>
  <c r="Q6" i="15" s="1"/>
  <c r="F10" i="15"/>
  <c r="O17" i="20"/>
  <c r="P8" i="20"/>
  <c r="P17" i="20" s="1"/>
  <c r="U11" i="18" l="1"/>
  <c r="V6" i="18"/>
  <c r="V11" i="18" s="1"/>
  <c r="Q10" i="15"/>
  <c r="R6" i="15"/>
  <c r="R10" i="15" s="1"/>
  <c r="D34" i="10"/>
  <c r="I18" i="10"/>
  <c r="J18" i="10"/>
  <c r="J19" i="10"/>
  <c r="J20" i="10"/>
  <c r="I21" i="10"/>
  <c r="J21" i="10"/>
  <c r="I22" i="10"/>
  <c r="J22" i="10"/>
  <c r="I24" i="10"/>
  <c r="J24" i="10"/>
  <c r="J25" i="10"/>
  <c r="J29" i="10"/>
  <c r="J30" i="10"/>
  <c r="M44" i="10"/>
  <c r="C5" i="12"/>
  <c r="D34" i="12" s="1"/>
  <c r="D32" i="12"/>
  <c r="D31" i="12"/>
  <c r="D30" i="12"/>
  <c r="D29" i="12"/>
  <c r="D28" i="12"/>
  <c r="D27" i="12"/>
  <c r="D26" i="12"/>
  <c r="D25" i="12"/>
  <c r="D24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D11" i="12"/>
  <c r="D10" i="12"/>
  <c r="D9" i="12"/>
  <c r="D33" i="12" l="1"/>
  <c r="D42" i="13" l="1"/>
  <c r="D41" i="13"/>
  <c r="D40" i="13"/>
  <c r="D39" i="13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J25" i="27" l="1"/>
  <c r="E22" i="22" l="1"/>
  <c r="E23" i="22"/>
  <c r="E20" i="22"/>
  <c r="E5" i="22"/>
  <c r="I63" i="31" l="1"/>
  <c r="O65" i="31"/>
  <c r="O64" i="31"/>
  <c r="O63" i="31"/>
  <c r="L65" i="31"/>
  <c r="L64" i="31"/>
  <c r="L63" i="31"/>
  <c r="I65" i="31"/>
  <c r="I64" i="31"/>
  <c r="H65" i="31"/>
  <c r="H64" i="31"/>
  <c r="H63" i="31"/>
  <c r="O59" i="31"/>
  <c r="O60" i="31" s="1"/>
  <c r="N51" i="31"/>
  <c r="N50" i="31"/>
  <c r="N49" i="31"/>
  <c r="N47" i="31"/>
  <c r="C6" i="10" l="1"/>
  <c r="D11" i="13" l="1"/>
  <c r="D10" i="13"/>
  <c r="C35" i="12" l="1"/>
  <c r="D35" i="12" l="1"/>
  <c r="H37" i="10" l="1"/>
  <c r="H36" i="10"/>
  <c r="H25" i="10" l="1"/>
  <c r="I60" i="31" l="1"/>
  <c r="H41" i="31" l="1"/>
  <c r="I41" i="31"/>
  <c r="L41" i="31" l="1"/>
  <c r="D33" i="19" l="1"/>
  <c r="C33" i="19"/>
  <c r="E13" i="34" l="1"/>
  <c r="E12" i="34"/>
  <c r="E11" i="34"/>
  <c r="E10" i="34"/>
  <c r="E9" i="34"/>
  <c r="E8" i="34"/>
  <c r="E7" i="34"/>
  <c r="E6" i="34"/>
  <c r="E5" i="21" l="1"/>
  <c r="D33" i="26" l="1"/>
  <c r="C7" i="10" l="1"/>
  <c r="C9" i="27"/>
  <c r="C5" i="10" l="1"/>
  <c r="D37" i="22" l="1"/>
  <c r="C37" i="22"/>
  <c r="E11" i="22" l="1"/>
  <c r="E33" i="22"/>
  <c r="E29" i="22"/>
  <c r="E25" i="22"/>
  <c r="E21" i="22"/>
  <c r="E17" i="22"/>
  <c r="E13" i="22"/>
  <c r="E12" i="22"/>
  <c r="E31" i="22"/>
  <c r="E36" i="22"/>
  <c r="E32" i="22"/>
  <c r="E28" i="22"/>
  <c r="E24" i="22"/>
  <c r="E16" i="22"/>
  <c r="E35" i="22"/>
  <c r="E27" i="22"/>
  <c r="E19" i="22"/>
  <c r="E15" i="22"/>
  <c r="E34" i="22"/>
  <c r="E30" i="22"/>
  <c r="E26" i="22"/>
  <c r="E18" i="22"/>
  <c r="E14" i="22"/>
  <c r="E6" i="22"/>
  <c r="D37" i="21"/>
  <c r="E6" i="21" s="1"/>
  <c r="C37" i="21"/>
  <c r="E36" i="21" l="1"/>
  <c r="E32" i="21"/>
  <c r="E28" i="21"/>
  <c r="E24" i="21"/>
  <c r="E20" i="21"/>
  <c r="E16" i="21"/>
  <c r="E12" i="21"/>
  <c r="E25" i="21"/>
  <c r="E35" i="21"/>
  <c r="E31" i="21"/>
  <c r="E27" i="21"/>
  <c r="E23" i="21"/>
  <c r="E19" i="21"/>
  <c r="E15" i="21"/>
  <c r="E11" i="21"/>
  <c r="E29" i="21"/>
  <c r="E17" i="21"/>
  <c r="E13" i="21"/>
  <c r="E34" i="21"/>
  <c r="E30" i="21"/>
  <c r="E26" i="21"/>
  <c r="E22" i="21"/>
  <c r="E18" i="21"/>
  <c r="E14" i="21"/>
  <c r="E33" i="21"/>
  <c r="E21" i="21"/>
  <c r="E37" i="22"/>
  <c r="G32" i="19"/>
  <c r="G31" i="19"/>
  <c r="G30" i="19"/>
  <c r="G29" i="19"/>
  <c r="G28" i="19"/>
  <c r="G27" i="19"/>
  <c r="G26" i="19"/>
  <c r="G25" i="19"/>
  <c r="G24" i="19"/>
  <c r="G23" i="19"/>
  <c r="G22" i="19"/>
  <c r="G21" i="19"/>
  <c r="G20" i="19"/>
  <c r="G19" i="19"/>
  <c r="G18" i="19"/>
  <c r="G17" i="19"/>
  <c r="G16" i="19"/>
  <c r="G15" i="19"/>
  <c r="G14" i="19"/>
  <c r="G13" i="19"/>
  <c r="G12" i="19"/>
  <c r="G11" i="19"/>
  <c r="G10" i="19"/>
  <c r="G9" i="19"/>
  <c r="G8" i="19"/>
  <c r="E37" i="21" l="1"/>
  <c r="E33" i="19"/>
  <c r="D14" i="34"/>
  <c r="G7" i="19" l="1"/>
  <c r="F33" i="19"/>
  <c r="E14" i="34"/>
  <c r="Q51" i="31" l="1"/>
  <c r="L44" i="10" l="1"/>
  <c r="E29" i="27" l="1"/>
  <c r="G29" i="27"/>
  <c r="H29" i="27"/>
  <c r="I14" i="27"/>
  <c r="J14" i="27" s="1"/>
  <c r="I17" i="27"/>
  <c r="J17" i="27" s="1"/>
  <c r="I15" i="27"/>
  <c r="J15" i="27" s="1"/>
  <c r="I16" i="27"/>
  <c r="J16" i="27" s="1"/>
  <c r="I18" i="27"/>
  <c r="J18" i="27" s="1"/>
  <c r="I19" i="27"/>
  <c r="J19" i="27" s="1"/>
  <c r="I20" i="27"/>
  <c r="J20" i="27" s="1"/>
  <c r="I21" i="27"/>
  <c r="J21" i="27" s="1"/>
  <c r="I22" i="27"/>
  <c r="J22" i="27" s="1"/>
  <c r="I23" i="27"/>
  <c r="J23" i="27" s="1"/>
  <c r="I24" i="27"/>
  <c r="J24" i="27" s="1"/>
  <c r="I25" i="27"/>
  <c r="I26" i="27"/>
  <c r="J26" i="27" s="1"/>
  <c r="I27" i="27"/>
  <c r="J27" i="27" s="1"/>
  <c r="I28" i="27"/>
  <c r="J28" i="27" s="1"/>
  <c r="F29" i="27"/>
  <c r="I13" i="27"/>
  <c r="J13" i="27" s="1"/>
  <c r="I29" i="27" l="1"/>
  <c r="J29" i="27"/>
  <c r="C33" i="26" l="1"/>
  <c r="C43" i="13"/>
  <c r="G37" i="19"/>
  <c r="N44" i="10"/>
  <c r="I44" i="10"/>
  <c r="E44" i="10"/>
  <c r="C44" i="10"/>
  <c r="J54" i="31"/>
  <c r="Q50" i="31"/>
  <c r="K50" i="31"/>
  <c r="J50" i="31"/>
  <c r="Q46" i="31"/>
  <c r="N46" i="31"/>
  <c r="K46" i="31"/>
  <c r="J46" i="31"/>
  <c r="Q45" i="31"/>
  <c r="N45" i="31"/>
  <c r="K45" i="31"/>
  <c r="J45" i="31"/>
  <c r="Q44" i="31"/>
  <c r="N44" i="31"/>
  <c r="K44" i="31"/>
  <c r="J44" i="31"/>
  <c r="Q43" i="31"/>
  <c r="N43" i="31"/>
  <c r="K43" i="31"/>
  <c r="J43" i="31"/>
  <c r="O41" i="31"/>
  <c r="Q40" i="31"/>
  <c r="N40" i="31"/>
  <c r="K40" i="31"/>
  <c r="J40" i="31"/>
  <c r="Q39" i="31"/>
  <c r="N39" i="31"/>
  <c r="K39" i="31"/>
  <c r="J39" i="31"/>
  <c r="O38" i="31"/>
  <c r="L38" i="31"/>
  <c r="L53" i="31" s="1"/>
  <c r="I38" i="31"/>
  <c r="I53" i="31" s="1"/>
  <c r="H38" i="31"/>
  <c r="H53" i="31" s="1"/>
  <c r="Q33" i="31"/>
  <c r="N33" i="31"/>
  <c r="K33" i="31"/>
  <c r="J33" i="31"/>
  <c r="Q32" i="31"/>
  <c r="N32" i="31"/>
  <c r="K32" i="31"/>
  <c r="J32" i="31"/>
  <c r="O35" i="31"/>
  <c r="L35" i="31"/>
  <c r="I35" i="31"/>
  <c r="H35" i="31"/>
  <c r="L28" i="31"/>
  <c r="I28" i="31"/>
  <c r="J28" i="31" s="1"/>
  <c r="H28" i="31"/>
  <c r="Q27" i="31"/>
  <c r="N27" i="31"/>
  <c r="K27" i="31"/>
  <c r="J27" i="31"/>
  <c r="Q26" i="31"/>
  <c r="N26" i="31"/>
  <c r="K26" i="31"/>
  <c r="J26" i="31"/>
  <c r="Q25" i="31"/>
  <c r="N25" i="31"/>
  <c r="K25" i="31"/>
  <c r="J25" i="31"/>
  <c r="N24" i="31"/>
  <c r="K24" i="31"/>
  <c r="J24" i="31"/>
  <c r="Q23" i="31"/>
  <c r="N23" i="31"/>
  <c r="K23" i="31"/>
  <c r="J23" i="31"/>
  <c r="Q22" i="31"/>
  <c r="N22" i="31"/>
  <c r="K22" i="31"/>
  <c r="J22" i="31"/>
  <c r="O19" i="31"/>
  <c r="L19" i="31"/>
  <c r="I19" i="31"/>
  <c r="H19" i="31"/>
  <c r="Q18" i="31"/>
  <c r="Q17" i="31"/>
  <c r="N17" i="31"/>
  <c r="K17" i="31"/>
  <c r="J17" i="31"/>
  <c r="Q16" i="31"/>
  <c r="N16" i="31"/>
  <c r="K16" i="31"/>
  <c r="J16" i="31"/>
  <c r="P8" i="31"/>
  <c r="P7" i="31"/>
  <c r="P6" i="31"/>
  <c r="J19" i="31" l="1"/>
  <c r="O53" i="31"/>
  <c r="D24" i="10"/>
  <c r="F24" i="10" s="1"/>
  <c r="D27" i="10"/>
  <c r="F27" i="10" s="1"/>
  <c r="D18" i="10"/>
  <c r="C4" i="10"/>
  <c r="F7" i="10" s="1"/>
  <c r="N28" i="31"/>
  <c r="K28" i="31"/>
  <c r="K19" i="31"/>
  <c r="N41" i="31"/>
  <c r="D22" i="10"/>
  <c r="F22" i="10" s="1"/>
  <c r="D36" i="10"/>
  <c r="F36" i="10" s="1"/>
  <c r="D33" i="10"/>
  <c r="F33" i="10" s="1"/>
  <c r="K41" i="31"/>
  <c r="O28" i="31"/>
  <c r="N19" i="31"/>
  <c r="N38" i="31"/>
  <c r="J41" i="31"/>
  <c r="Q41" i="31"/>
  <c r="K38" i="31"/>
  <c r="D43" i="13"/>
  <c r="H55" i="31"/>
  <c r="Q35" i="31"/>
  <c r="K35" i="31"/>
  <c r="J35" i="31"/>
  <c r="N35" i="31"/>
  <c r="Q38" i="31"/>
  <c r="Q31" i="31"/>
  <c r="Q19" i="31"/>
  <c r="Q24" i="31"/>
  <c r="J31" i="31"/>
  <c r="N31" i="31"/>
  <c r="J38" i="31"/>
  <c r="K31" i="31"/>
  <c r="D41" i="10"/>
  <c r="F41" i="10" s="1"/>
  <c r="D39" i="10"/>
  <c r="F39" i="10" s="1"/>
  <c r="D43" i="10"/>
  <c r="F43" i="10" s="1"/>
  <c r="F34" i="10"/>
  <c r="D31" i="10"/>
  <c r="F31" i="10" s="1"/>
  <c r="D42" i="10"/>
  <c r="F42" i="10" s="1"/>
  <c r="D40" i="10"/>
  <c r="F40" i="10" s="1"/>
  <c r="D38" i="10"/>
  <c r="F38" i="10" s="1"/>
  <c r="D35" i="10"/>
  <c r="F35" i="10" s="1"/>
  <c r="D32" i="10"/>
  <c r="F32" i="10" s="1"/>
  <c r="D29" i="10"/>
  <c r="F29" i="10" s="1"/>
  <c r="D30" i="10"/>
  <c r="F30" i="10" s="1"/>
  <c r="D25" i="10"/>
  <c r="F25" i="10" s="1"/>
  <c r="D23" i="10"/>
  <c r="F23" i="10" s="1"/>
  <c r="D19" i="10"/>
  <c r="F19" i="10" s="1"/>
  <c r="D37" i="10"/>
  <c r="F37" i="10" s="1"/>
  <c r="D28" i="10"/>
  <c r="F28" i="10" s="1"/>
  <c r="D26" i="10"/>
  <c r="F26" i="10" s="1"/>
  <c r="D20" i="10"/>
  <c r="F20" i="10" s="1"/>
  <c r="I5" i="10"/>
  <c r="D21" i="10"/>
  <c r="F21" i="10" s="1"/>
  <c r="I6" i="10"/>
  <c r="O55" i="31" l="1"/>
  <c r="Q28" i="31"/>
  <c r="F5" i="10"/>
  <c r="F6" i="10"/>
  <c r="H40" i="10"/>
  <c r="O40" i="10" s="1"/>
  <c r="K53" i="31"/>
  <c r="J53" i="31"/>
  <c r="N53" i="31"/>
  <c r="D44" i="10"/>
  <c r="F18" i="10"/>
  <c r="H39" i="10"/>
  <c r="O39" i="10" s="1"/>
  <c r="G33" i="19"/>
  <c r="G36" i="19" s="1"/>
  <c r="G38" i="19" s="1"/>
  <c r="I55" i="31"/>
  <c r="L55" i="31"/>
  <c r="L60" i="31" s="1"/>
  <c r="Q53" i="31"/>
  <c r="P47" i="31" l="1"/>
  <c r="P49" i="31"/>
  <c r="P55" i="31"/>
  <c r="P51" i="31"/>
  <c r="P42" i="31"/>
  <c r="P32" i="31"/>
  <c r="P26" i="31"/>
  <c r="P22" i="31"/>
  <c r="P45" i="31"/>
  <c r="P39" i="31"/>
  <c r="P27" i="31"/>
  <c r="P16" i="31"/>
  <c r="P54" i="31"/>
  <c r="P50" i="31"/>
  <c r="P25" i="31"/>
  <c r="P18" i="31"/>
  <c r="P52" i="31"/>
  <c r="P43" i="31"/>
  <c r="P33" i="31"/>
  <c r="P23" i="31"/>
  <c r="P46" i="31"/>
  <c r="P44" i="31"/>
  <c r="P40" i="31"/>
  <c r="P34" i="31"/>
  <c r="P24" i="31"/>
  <c r="P17" i="31"/>
  <c r="P31" i="31"/>
  <c r="P19" i="31"/>
  <c r="P41" i="31"/>
  <c r="P35" i="31"/>
  <c r="P38" i="31"/>
  <c r="P53" i="31"/>
  <c r="P28" i="31"/>
  <c r="Q55" i="31"/>
  <c r="H32" i="10"/>
  <c r="O32" i="10" s="1"/>
  <c r="O36" i="10"/>
  <c r="H41" i="10"/>
  <c r="O41" i="10" s="1"/>
  <c r="H43" i="10"/>
  <c r="O43" i="10" s="1"/>
  <c r="H24" i="10"/>
  <c r="O24" i="10" s="1"/>
  <c r="H22" i="10"/>
  <c r="H29" i="10"/>
  <c r="O37" i="10"/>
  <c r="H35" i="10"/>
  <c r="O35" i="10" s="1"/>
  <c r="H21" i="10"/>
  <c r="H27" i="10"/>
  <c r="O27" i="10" s="1"/>
  <c r="J55" i="31"/>
  <c r="K55" i="31"/>
  <c r="H20" i="10"/>
  <c r="H33" i="10"/>
  <c r="O33" i="10" s="1"/>
  <c r="H31" i="10"/>
  <c r="H26" i="10"/>
  <c r="O26" i="10" s="1"/>
  <c r="H28" i="10"/>
  <c r="H30" i="10"/>
  <c r="O30" i="10" s="1"/>
  <c r="N55" i="31"/>
  <c r="L54" i="31"/>
  <c r="M55" i="31"/>
  <c r="M35" i="31"/>
  <c r="M19" i="31"/>
  <c r="M28" i="31"/>
  <c r="H34" i="10"/>
  <c r="O34" i="10" s="1"/>
  <c r="F44" i="10"/>
  <c r="M53" i="31"/>
  <c r="H23" i="10"/>
  <c r="O23" i="10" s="1"/>
  <c r="O22" i="10" l="1"/>
  <c r="O21" i="10"/>
  <c r="O28" i="10"/>
  <c r="O25" i="10"/>
  <c r="O31" i="10"/>
  <c r="O20" i="10"/>
  <c r="M51" i="31"/>
  <c r="M52" i="31"/>
  <c r="O29" i="10"/>
  <c r="M41" i="31"/>
  <c r="M26" i="31"/>
  <c r="M17" i="31"/>
  <c r="M25" i="31"/>
  <c r="M46" i="31"/>
  <c r="M43" i="31"/>
  <c r="M40" i="31"/>
  <c r="M33" i="31"/>
  <c r="M27" i="31"/>
  <c r="M24" i="31"/>
  <c r="M16" i="31"/>
  <c r="M23" i="31"/>
  <c r="M22" i="31"/>
  <c r="M50" i="31"/>
  <c r="M45" i="31"/>
  <c r="M44" i="31"/>
  <c r="M39" i="31"/>
  <c r="M32" i="31"/>
  <c r="M31" i="31"/>
  <c r="M38" i="31"/>
  <c r="H42" i="10"/>
  <c r="O42" i="10" s="1"/>
  <c r="K44" i="10" l="1"/>
  <c r="H38" i="10"/>
  <c r="O38" i="10" s="1"/>
  <c r="H18" i="10"/>
  <c r="O18" i="10" s="1"/>
  <c r="J44" i="10"/>
  <c r="H19" i="10" l="1"/>
  <c r="O19" i="10" s="1"/>
  <c r="G44" i="10" l="1"/>
  <c r="H44" i="10" l="1"/>
  <c r="O44" i="10"/>
</calcChain>
</file>

<file path=xl/sharedStrings.xml><?xml version="1.0" encoding="utf-8"?>
<sst xmlns="http://schemas.openxmlformats.org/spreadsheetml/2006/main" count="1210" uniqueCount="323">
  <si>
    <t>údaje v Kč</t>
  </si>
  <si>
    <t>Ukazatel P - společenské priority</t>
  </si>
  <si>
    <t>Kód VVŠ</t>
  </si>
  <si>
    <t>Název VVŠ</t>
  </si>
  <si>
    <t>Univerzita Karlova</t>
  </si>
  <si>
    <t>Jihočeská univerzita v Českých Budějovicích</t>
  </si>
  <si>
    <t>Univerzita Jana Evangelisty Purkyně v Ústí nad Labem</t>
  </si>
  <si>
    <t>Masarykova univerzita</t>
  </si>
  <si>
    <t>Univerzita Palackého v Olomouci</t>
  </si>
  <si>
    <t>Ostravská univerzita</t>
  </si>
  <si>
    <t>Univerzita Hradec Králové</t>
  </si>
  <si>
    <t>Slezská univerzita v Opavě</t>
  </si>
  <si>
    <t>České vysoké učení technické v Praze</t>
  </si>
  <si>
    <t>Vysoká škola chemicko-technologická v Praze</t>
  </si>
  <si>
    <t>Západočeská univerzita v Plzni</t>
  </si>
  <si>
    <t>Technická univerzita v Liberci</t>
  </si>
  <si>
    <t>Univerzita Pardubice</t>
  </si>
  <si>
    <t>Vysoké učení technické v Brně</t>
  </si>
  <si>
    <t>Vysoká škola báňská - Technická univerzita Ostrava</t>
  </si>
  <si>
    <t>Univerzita Tomáše Bati ve Zlíně</t>
  </si>
  <si>
    <t>Vysoká škola ekonomická v Praze</t>
  </si>
  <si>
    <t>Česká zemědělská univerzita v Praze</t>
  </si>
  <si>
    <t>Mendelova univerzita v Brně</t>
  </si>
  <si>
    <t>Akademie múzických umění v Praze</t>
  </si>
  <si>
    <t>Akademie výtvarných umění v Praze</t>
  </si>
  <si>
    <t>Vysoká škola uměleckoprůmyslová v Praze</t>
  </si>
  <si>
    <t>Vysoká škola polytechnická Jihlava</t>
  </si>
  <si>
    <t>Vysoká škola technická a ekonomická v Českých Budějovicích</t>
  </si>
  <si>
    <t>Celkem</t>
  </si>
  <si>
    <t>Podíl v %</t>
  </si>
  <si>
    <t>Částka</t>
  </si>
  <si>
    <t>Částka po krácení</t>
  </si>
  <si>
    <t>vč. krácení dle čl. 10 odst. 7 Pravidel</t>
  </si>
  <si>
    <t>částka vyčleněná na RO I</t>
  </si>
  <si>
    <t>Kč</t>
  </si>
  <si>
    <t>Podíl na RO I</t>
  </si>
  <si>
    <t>RO I celkem</t>
  </si>
  <si>
    <t xml:space="preserve">     v tom ukazatel A - fixní část</t>
  </si>
  <si>
    <t xml:space="preserve">     v tom ukazatel K - výkonová část </t>
  </si>
  <si>
    <t xml:space="preserve">     v tom ukazatel P - společenské priority</t>
  </si>
  <si>
    <t>Podíl na A + K</t>
  </si>
  <si>
    <t>Ukazatel A - fixní část</t>
  </si>
  <si>
    <t>Ukazatel K - výkonová část</t>
  </si>
  <si>
    <t>Lékařské fakulty</t>
  </si>
  <si>
    <t>Pedagogické fakulty</t>
  </si>
  <si>
    <t xml:space="preserve">                 v tom lékařské fakulty</t>
  </si>
  <si>
    <t xml:space="preserve">                 v tom pedagogické fakulty</t>
  </si>
  <si>
    <t>(Nezahrnuje dotace na programy reprodukce majetku)</t>
  </si>
  <si>
    <t>Položka</t>
  </si>
  <si>
    <t>meziroční změna</t>
  </si>
  <si>
    <t>Průměrný normativ</t>
  </si>
  <si>
    <t>x</t>
  </si>
  <si>
    <t>Výpočt. stip. v doktor. studiu (ročně)</t>
  </si>
  <si>
    <t>Základní normativ</t>
  </si>
  <si>
    <t>Výpočtové ubytovací stipendium (ročně)</t>
  </si>
  <si>
    <t xml:space="preserve">Normativ absolventa </t>
  </si>
  <si>
    <t>Výpočtová dotace na 1  jídlo</t>
  </si>
  <si>
    <t>Název ukazatele / položky</t>
  </si>
  <si>
    <r>
      <t xml:space="preserve">% podíl z celku </t>
    </r>
    <r>
      <rPr>
        <i/>
        <sz val="11"/>
        <color indexed="23"/>
        <rFont val="Arial"/>
        <family val="2"/>
        <charset val="238"/>
      </rPr>
      <t>(sl. 3)</t>
    </r>
  </si>
  <si>
    <r>
      <t xml:space="preserve">Meziroční vývoj 
</t>
    </r>
    <r>
      <rPr>
        <i/>
        <sz val="11"/>
        <color indexed="23"/>
        <rFont val="Arial"/>
        <family val="2"/>
        <charset val="238"/>
      </rPr>
      <t>(sl. 3 vs 2)</t>
    </r>
  </si>
  <si>
    <r>
      <t xml:space="preserve">% podíl z celku </t>
    </r>
    <r>
      <rPr>
        <i/>
        <sz val="11"/>
        <color indexed="23"/>
        <rFont val="Arial"/>
        <family val="2"/>
        <charset val="238"/>
      </rPr>
      <t>(sl. 6)</t>
    </r>
  </si>
  <si>
    <r>
      <t xml:space="preserve">Meziroční vývoj 
</t>
    </r>
    <r>
      <rPr>
        <i/>
        <sz val="11"/>
        <color indexed="23"/>
        <rFont val="Arial"/>
        <family val="2"/>
        <charset val="238"/>
      </rPr>
      <t>(sl. 6 vs 3)</t>
    </r>
  </si>
  <si>
    <r>
      <t xml:space="preserve">% podíl z celku </t>
    </r>
    <r>
      <rPr>
        <i/>
        <sz val="11"/>
        <color indexed="23"/>
        <rFont val="Arial"/>
        <family val="2"/>
        <charset val="238"/>
      </rPr>
      <t>(sl. 9)</t>
    </r>
  </si>
  <si>
    <r>
      <t xml:space="preserve">Meziroční vývoj 
</t>
    </r>
    <r>
      <rPr>
        <i/>
        <sz val="11"/>
        <color indexed="23"/>
        <rFont val="Arial"/>
        <family val="2"/>
        <charset val="238"/>
      </rPr>
      <t>(sl. 9 vs 6)</t>
    </r>
  </si>
  <si>
    <t>Rozpočtový okruh I, institucionální část rozpočtu</t>
  </si>
  <si>
    <t>P</t>
  </si>
  <si>
    <t>Celkem normativní část rozpočtu</t>
  </si>
  <si>
    <t>Rozpočtový okruh II, Sociální záležitosti studentů</t>
  </si>
  <si>
    <t>Ukazatel C - stipendia pro studenty doktorských stud. prog.</t>
  </si>
  <si>
    <t>D</t>
  </si>
  <si>
    <t>Ukazatel J - dotace na ubytování a stravování studentů</t>
  </si>
  <si>
    <t>Ukazatel S1 - příspěvek na sociální stipendia VVŠ</t>
  </si>
  <si>
    <t>Ukazatel U1- příspěvek na ubytovací stipendia VVŠ</t>
  </si>
  <si>
    <t>Celkem sociální záležitosti studentů</t>
  </si>
  <si>
    <t>Rozpočtový okruh III, Rozvoj vysokých škol</t>
  </si>
  <si>
    <t xml:space="preserve">Ukazatel I - rozvojové programy </t>
  </si>
  <si>
    <t>Celkem rozvoj vysokých škol</t>
  </si>
  <si>
    <t>Rozpočtový okruh IV, Mezinárodní spolupráce a ostatní</t>
  </si>
  <si>
    <t>Ukazatel D - mezinárodní spolupráce</t>
  </si>
  <si>
    <t>CEEPUS</t>
  </si>
  <si>
    <t>Podpora mezinárodní spolupráce</t>
  </si>
  <si>
    <t>Ukazatel F - Fond vzdělávací politiky</t>
  </si>
  <si>
    <t>V tom:</t>
  </si>
  <si>
    <t>Systémová podpora VŠ</t>
  </si>
  <si>
    <t>Studium studentů se specifickými potřebami</t>
  </si>
  <si>
    <t>Univerzita třetího věku (U3V)</t>
  </si>
  <si>
    <t>další</t>
  </si>
  <si>
    <t>Celkem Mezinárodní spolupráce a ostatní</t>
  </si>
  <si>
    <t>Ukazatel rozpočtu VŠ (zák. o státním rozpočtu)</t>
  </si>
  <si>
    <t>Příspěvek celkem</t>
  </si>
  <si>
    <t>Dotace celkem</t>
  </si>
  <si>
    <t>V některých ukazatelích může být poskytnut příspěvek nebo dotace v závislosti na účelu, na který se poskytuje.</t>
  </si>
  <si>
    <t>Ukazatel C</t>
  </si>
  <si>
    <t xml:space="preserve">Výše příspěvku           v ukazateli </t>
  </si>
  <si>
    <t>Ukazatel U</t>
  </si>
  <si>
    <t>Základní údaje</t>
  </si>
  <si>
    <t>Počet studentů splňujících podmínky VVŠ</t>
  </si>
  <si>
    <t>Počet studentů splňujících podmínky SVŠ</t>
  </si>
  <si>
    <t>Jednotková sazba (Kč)</t>
  </si>
  <si>
    <t>Výše příspěvku pro VVŠ (Kč)</t>
  </si>
  <si>
    <t>Ukazatel U1 - veřejné vysoké školy</t>
  </si>
  <si>
    <t>Název VŠ</t>
  </si>
  <si>
    <t>Počet studentů</t>
  </si>
  <si>
    <t>výše příspěvku</t>
  </si>
  <si>
    <t>Celkem   V V Š</t>
  </si>
  <si>
    <t>SP přípravující budoucí ped. pracovníky</t>
  </si>
  <si>
    <t>Ekonomická knihovna VŠE</t>
  </si>
  <si>
    <t>Váha parametru</t>
  </si>
  <si>
    <t>Mezinárodní mobility</t>
  </si>
  <si>
    <t>Zaměstnanost abolventů</t>
  </si>
  <si>
    <t>VaV</t>
  </si>
  <si>
    <t>RUV</t>
  </si>
  <si>
    <t>Externí příjmy</t>
  </si>
  <si>
    <t>Podíl v rámci segmentu</t>
  </si>
  <si>
    <t>Celkový podíl na výkonové části</t>
  </si>
  <si>
    <t>Vyslaní</t>
  </si>
  <si>
    <t>Přijatí</t>
  </si>
  <si>
    <t>Podíl</t>
  </si>
  <si>
    <t>CELKEM</t>
  </si>
  <si>
    <t>Graduation rate</t>
  </si>
  <si>
    <t>Zaměstnanost absolventů</t>
  </si>
  <si>
    <t>Cizinci (AP + VP)</t>
  </si>
  <si>
    <t xml:space="preserve">                 v tom učitelské SP</t>
  </si>
  <si>
    <t xml:space="preserve">                 v tom ekonomická knihovna CIKS</t>
  </si>
  <si>
    <t>Ukazatel J</t>
  </si>
  <si>
    <t xml:space="preserve">celkový počet vydaných jídel </t>
  </si>
  <si>
    <t>teplých</t>
  </si>
  <si>
    <t>studených</t>
  </si>
  <si>
    <t>stud. přepočt.</t>
  </si>
  <si>
    <t>celkem tep. + st. přep.</t>
  </si>
  <si>
    <t>Normativ na jedno hlavní jídlo (Kč)</t>
  </si>
  <si>
    <t>Rezerva na žádosti dle čl. 16 Pravidel (Kč)</t>
  </si>
  <si>
    <t>Ukazatel P - společenské priority - pedagogické fakulty</t>
  </si>
  <si>
    <t>Název fakulty</t>
  </si>
  <si>
    <t>Podíl na celku</t>
  </si>
  <si>
    <t>Objem na dorovnání v Kč</t>
  </si>
  <si>
    <t>Částka v Kč</t>
  </si>
  <si>
    <t>Pedagogická fakulta</t>
  </si>
  <si>
    <t>Fakulta př/hum a pedagogická</t>
  </si>
  <si>
    <t xml:space="preserve">Ukazatel F </t>
  </si>
  <si>
    <t>Celková částka podle rozpisu rozpočtu (Kč)</t>
  </si>
  <si>
    <t>Jednotková částka na jednu studentohodinu (Kč)</t>
  </si>
  <si>
    <t>Upravený nárok</t>
  </si>
  <si>
    <t>Počet účastníků U3V</t>
  </si>
  <si>
    <t>Počet studento- hodin</t>
  </si>
  <si>
    <t>Ukazatel F</t>
  </si>
  <si>
    <t>Celková částka vyčleněná na studium SSP (Kč)</t>
  </si>
  <si>
    <t>Rozsah vykrytí kalkulovaných zvýšených nákladů (%)</t>
  </si>
  <si>
    <t>Kalkulované zvýšené náklady (Kč)</t>
  </si>
  <si>
    <r>
      <t>Sociální stipendium (měsíčně)</t>
    </r>
    <r>
      <rPr>
        <b/>
        <vertAlign val="superscript"/>
        <sz val="11"/>
        <rFont val="Arial"/>
        <family val="2"/>
        <charset val="238"/>
      </rPr>
      <t xml:space="preserve"> 2*)</t>
    </r>
  </si>
  <si>
    <r>
      <t xml:space="preserve">Příspěvek </t>
    </r>
    <r>
      <rPr>
        <b/>
        <vertAlign val="superscript"/>
        <sz val="11"/>
        <rFont val="Arial"/>
        <family val="2"/>
        <charset val="238"/>
      </rPr>
      <t>1*</t>
    </r>
    <r>
      <rPr>
        <b/>
        <sz val="11"/>
        <rFont val="Arial"/>
        <family val="2"/>
        <charset val="238"/>
      </rPr>
      <t>)</t>
    </r>
  </si>
  <si>
    <r>
      <t xml:space="preserve">Dotace </t>
    </r>
    <r>
      <rPr>
        <b/>
        <vertAlign val="superscript"/>
        <sz val="11"/>
        <rFont val="Arial"/>
        <family val="2"/>
        <charset val="238"/>
      </rPr>
      <t>1*)</t>
    </r>
  </si>
  <si>
    <t>v tom</t>
  </si>
  <si>
    <t>Celkem příspěvek + dotace</t>
  </si>
  <si>
    <t>Výdaje na EDS/SMVS (sekce I)</t>
  </si>
  <si>
    <t>Výdaje na činnost VŠ</t>
  </si>
  <si>
    <t xml:space="preserve">1*) </t>
  </si>
  <si>
    <t xml:space="preserve">2*) </t>
  </si>
  <si>
    <t>Soukromé VŠ</t>
  </si>
  <si>
    <t>Univerzita obrany</t>
  </si>
  <si>
    <t>Ukazatel U2 - dotace na ubytovací stipendia SVŠ</t>
  </si>
  <si>
    <t>Ukazatel S2 - dotace na sociální stipendia SVŠ</t>
  </si>
  <si>
    <t>Studia v cizím jazyce</t>
  </si>
  <si>
    <t>Ukazatel I</t>
  </si>
  <si>
    <t xml:space="preserve">Počet rozpočtových absolventů za období 1. 11.  - 31. 10. </t>
  </si>
  <si>
    <t>Ukazatel P - společenské priority - podpora pedagogických SP</t>
  </si>
  <si>
    <t>Přepočtená studia</t>
  </si>
  <si>
    <t>Rozpočtoví absolventi</t>
  </si>
  <si>
    <t>Počet</t>
  </si>
  <si>
    <t>Kód fakulty</t>
  </si>
  <si>
    <t>Fond umělecké činnosti (FUČ)</t>
  </si>
  <si>
    <t>Rezerva na navýš. RO I dle čl. 14 odst. 3 Pravidel pro rok 2020</t>
  </si>
  <si>
    <t>Bude upřesněno v průběhu roku podle povahy schválených výdajů ukazatele F</t>
  </si>
  <si>
    <t>Fond umělecké činnosti</t>
  </si>
  <si>
    <t>Zdrojem dat jsou výstupy ze SIMS k 31. 10.</t>
  </si>
  <si>
    <t>Jedná o SP s dvojčíslím "75" bez SP zaměřených na sociální práci a sociální péči (7502;7508) - staré kódování a o SP s ISCED-F začínající na dvojčíslí "01" nebo převažující oblastí vzdělávání 19 nebo 30.</t>
  </si>
  <si>
    <t>Seznam tabulek:</t>
  </si>
  <si>
    <t>Ukazatel F - U3V</t>
  </si>
  <si>
    <t>Výkonová část - segment 1</t>
  </si>
  <si>
    <t>Výkonová část - segment 2</t>
  </si>
  <si>
    <t>Výkonová část - segment 3</t>
  </si>
  <si>
    <t>Výkonová část - segment 4</t>
  </si>
  <si>
    <t>Ukazatel P - Pedagogické fakulty</t>
  </si>
  <si>
    <t>Ukazatel P - Pedagogické SP</t>
  </si>
  <si>
    <t xml:space="preserve">Ukazatel F - SSP </t>
  </si>
  <si>
    <t>2a</t>
  </si>
  <si>
    <t>2b</t>
  </si>
  <si>
    <t>2c</t>
  </si>
  <si>
    <t>2d</t>
  </si>
  <si>
    <t>3a</t>
  </si>
  <si>
    <t>3b</t>
  </si>
  <si>
    <t>Rozpočtový okruh I</t>
  </si>
  <si>
    <t>Rozpočet 2021</t>
  </si>
  <si>
    <t>SP připravující budoucí pedag. prac. na nepedagogických fakultách v deficitních aprobacích</t>
  </si>
  <si>
    <t>Ukazatel P - Lékařské fakulty</t>
  </si>
  <si>
    <t>3c</t>
  </si>
  <si>
    <t>3d</t>
  </si>
  <si>
    <t>Ukazatel P - Deficitní aprobace</t>
  </si>
  <si>
    <t>10a</t>
  </si>
  <si>
    <t>10b</t>
  </si>
  <si>
    <t>Přepočtený počet studentů k 31. 10.</t>
  </si>
  <si>
    <t>Ukazatel P - společenské priority - lékařské fakulty</t>
  </si>
  <si>
    <t>1. lékařská fakulta</t>
  </si>
  <si>
    <t>3. lékařská fakulta</t>
  </si>
  <si>
    <t>2. lékařská fakulta</t>
  </si>
  <si>
    <t>Lékařská fakulta v Plzni</t>
  </si>
  <si>
    <t>Lékařská fakulta v Hradci Králové</t>
  </si>
  <si>
    <t>Lékařská fakulta</t>
  </si>
  <si>
    <t>Aktivní studia</t>
  </si>
  <si>
    <t>Absolvovaná studia</t>
  </si>
  <si>
    <t>Přírodovědecká fakulta</t>
  </si>
  <si>
    <t>Fakulta tělesné výchovy a sportu</t>
  </si>
  <si>
    <t>Matematicko-fyzikální fakulta</t>
  </si>
  <si>
    <t>Fakulta tělesné kultury</t>
  </si>
  <si>
    <t xml:space="preserve">Celoškolská pracoviště (studium mimo fakulty) </t>
  </si>
  <si>
    <t>Fakulta aplikovaných věd</t>
  </si>
  <si>
    <t>Fakulta aplikované informatiky</t>
  </si>
  <si>
    <t>Dílčí indikátor</t>
  </si>
  <si>
    <t>Váha</t>
  </si>
  <si>
    <t>Přepočtený počet doc a prof</t>
  </si>
  <si>
    <t>Rozpočtová absolvovaná studia</t>
  </si>
  <si>
    <t>Přepočtená studia na 1 akademického pracovníka</t>
  </si>
  <si>
    <t>VVŠ</t>
  </si>
  <si>
    <t>Název Fakulty</t>
  </si>
  <si>
    <t>Celkový podíl</t>
  </si>
  <si>
    <t>1300</t>
  </si>
  <si>
    <t>Fakulta umění a designu</t>
  </si>
  <si>
    <t>1700</t>
  </si>
  <si>
    <t>Fakulta umění</t>
  </si>
  <si>
    <t>2100</t>
  </si>
  <si>
    <t>Fakulta architektury</t>
  </si>
  <si>
    <t>2300</t>
  </si>
  <si>
    <t>Fakulta designu a umění Ladislava Sutnara</t>
  </si>
  <si>
    <t>2400</t>
  </si>
  <si>
    <t>Fakulta umění a architektury</t>
  </si>
  <si>
    <t>2500</t>
  </si>
  <si>
    <t>Fakulta restaurování</t>
  </si>
  <si>
    <t>2600</t>
  </si>
  <si>
    <t>Fakulta výtvarných umění</t>
  </si>
  <si>
    <t>2800</t>
  </si>
  <si>
    <t>Fakulta multimediálních komunikací</t>
  </si>
  <si>
    <t>5100</t>
  </si>
  <si>
    <t>Hudební a taneční fakulta</t>
  </si>
  <si>
    <t>Divadelní fakulta</t>
  </si>
  <si>
    <t>Filmová a televizní fakulta</t>
  </si>
  <si>
    <t>5200</t>
  </si>
  <si>
    <t>Celoškolská pracoviště (studium mimo fakulty)</t>
  </si>
  <si>
    <t>5300</t>
  </si>
  <si>
    <t>5400</t>
  </si>
  <si>
    <t>Hudební fakulta</t>
  </si>
  <si>
    <t>Počet studentů           se SP</t>
  </si>
  <si>
    <t xml:space="preserve">                 v tom učitelské SP - deficitní aprobace</t>
  </si>
  <si>
    <t>Seznam</t>
  </si>
  <si>
    <t>Roční dotace na stravování (Kč)</t>
  </si>
  <si>
    <t>Rozpočtová výše dotace pro SVŠ (Kč)</t>
  </si>
  <si>
    <t>Uplatněný nárok</t>
  </si>
  <si>
    <t>Členění rozpisu rozpočtu (vč. výdajů na EDS/SMVS a výdajů na mezinárodní spolupráci) z pohledu struktury výdajů státní pokladny</t>
  </si>
  <si>
    <t>Výdaje na mezinárodní spolupráci (sekce IV)</t>
  </si>
  <si>
    <t>Krácení finančních prostředků</t>
  </si>
  <si>
    <t>Částka v KČ</t>
  </si>
  <si>
    <t>Dotace (Kč)</t>
  </si>
  <si>
    <t>Rok 2021</t>
  </si>
  <si>
    <t>Přepočtený počet studií k 31. 10. 2021</t>
  </si>
  <si>
    <t>Počet rozpočtových absolventů za období 1. 11. 2020 - 31. 10. 2021</t>
  </si>
  <si>
    <t>Přepočtená studia k 31. 10. 2021</t>
  </si>
  <si>
    <t>Rozpočtoví absolventi za období 1. 11. 2020 - 31. 10. 2021</t>
  </si>
  <si>
    <t>Rozpočet 2022</t>
  </si>
  <si>
    <t>Veterinární univerzita Brno</t>
  </si>
  <si>
    <t>Maximální výše ročního příspěvku</t>
  </si>
  <si>
    <t>Institucionální (dříve decentralizované) plány - od r. 2022 - PPSŘ</t>
  </si>
  <si>
    <t>Kofinancování NPO</t>
  </si>
  <si>
    <t>Podpora ukrajinských studentů</t>
  </si>
  <si>
    <t>Janáčkova akademie múzických umění</t>
  </si>
  <si>
    <t>Rozpočet 2023</t>
  </si>
  <si>
    <t>Podpora - růst cen energií</t>
  </si>
  <si>
    <t>Janáčkova akademie múzických umění v Brně</t>
  </si>
  <si>
    <t xml:space="preserve">                 v tom dlouhodobá podpora VETUNI</t>
  </si>
  <si>
    <t>VETUNI</t>
  </si>
  <si>
    <t>Rok 2022</t>
  </si>
  <si>
    <t>Přepočtený počet studií k 31. 10. 2022</t>
  </si>
  <si>
    <t>Počet rozpočtových absolventů za období 1. 11. 2021 - 31. 10. 2022</t>
  </si>
  <si>
    <t>Přepočtená studia k 31. 10. 2022</t>
  </si>
  <si>
    <t>Rozpočtoví absolventi za období 1. 11. 2021 - 31. 10. 2022</t>
  </si>
  <si>
    <t>Zdroj dat: vyžádané informace od VVŠ</t>
  </si>
  <si>
    <t>Příspěvek na studium SSP</t>
  </si>
  <si>
    <t>Příspěvek na U3V</t>
  </si>
  <si>
    <t>Rozpis rozpočtu vysokých škol na rok 2024</t>
  </si>
  <si>
    <t>Bilance zdrojů pro rozdělení příspěvku a dotací vysokým školám v roce 2024</t>
  </si>
  <si>
    <t>Rozpočet 2024</t>
  </si>
  <si>
    <t>Program podpory rozvoje oblasti (PPRO)</t>
  </si>
  <si>
    <t>PPRO - Příprava implementace reformy DS, Strategie řízení LZ</t>
  </si>
  <si>
    <t>Vychází z výše minimální mzdy od roku 2024</t>
  </si>
  <si>
    <r>
      <rPr>
        <b/>
        <sz val="10"/>
        <color indexed="8"/>
        <rFont val="Calibri"/>
        <family val="2"/>
        <charset val="238"/>
      </rPr>
      <t>V roce 2023</t>
    </r>
    <r>
      <rPr>
        <sz val="10"/>
        <color indexed="8"/>
        <rFont val="Calibri"/>
        <family val="2"/>
        <charset val="238"/>
      </rPr>
      <t xml:space="preserve"> byly uplatněné </t>
    </r>
    <r>
      <rPr>
        <b/>
        <sz val="10"/>
        <color indexed="8"/>
        <rFont val="Calibri"/>
        <family val="2"/>
        <charset val="238"/>
      </rPr>
      <t xml:space="preserve">nároky vykryty ve výši </t>
    </r>
  </si>
  <si>
    <t>Podpora financování zvýšených nákladů souvisejících se studiem studentů se specifickými potřebami v roce 2024</t>
  </si>
  <si>
    <t>Podpora financování nákladů souvisejících se vzděláváním seniorů prostřednictvím tzv. Univerzit třetího věku v roce 2024</t>
  </si>
  <si>
    <t>Fond umělecké činnosti pro rok 2024</t>
  </si>
  <si>
    <t>Částka vyčleněná  na ukazatel FUČ pro rok 2024</t>
  </si>
  <si>
    <t>Ubytovací stipendium v roce 2024</t>
  </si>
  <si>
    <t>Zdrojem počtu studentů s nárokem na ubytovací stipendium je SIMS k 31. 10. 2023</t>
  </si>
  <si>
    <t xml:space="preserve"> Dotace na ubytování a stravování studentů v roce 2024</t>
  </si>
  <si>
    <t>Stipendia pro studenty doktorských studijních programů v roce 2024</t>
  </si>
  <si>
    <t>Výše prostředků na stipendia pro studenty doktorských stud. prog.na rok 2024</t>
  </si>
  <si>
    <t>Rozpočtový okruh I, institucionální část rozpočtu - celkový výpočet na rok 2024</t>
  </si>
  <si>
    <t>Vyčleněná částka na lékařské fakulty pro rok 2024</t>
  </si>
  <si>
    <t>Program na podporu strategického řízení VŠ pro rok 2024</t>
  </si>
  <si>
    <t>Výše mzd. prostředků AP za rok 2022 z kap. 333 v tis. Kč</t>
  </si>
  <si>
    <t>Průměrná mzda akadem. pracovníka za rok 2022 z kap. 333</t>
  </si>
  <si>
    <t>Přepočtený počet akad. pracovníků hrazených z kap. 333 za rok 2022</t>
  </si>
  <si>
    <t>Rok 2023</t>
  </si>
  <si>
    <t>Přepočtený počet studií k 31. 10. 2023</t>
  </si>
  <si>
    <t>Počet rozpočtových absolventů za období 1. 11. 2022 - 31. 10. 2023</t>
  </si>
  <si>
    <t>Výkonová část RO I - 2024 - Segment 1</t>
  </si>
  <si>
    <t>Výkonová část RO I - 2024 - Segment 2</t>
  </si>
  <si>
    <t>Výkonová část RO I - 2024 - Segment 3</t>
  </si>
  <si>
    <t>Výkonová část RO I - 2024 - Segment 4</t>
  </si>
  <si>
    <t>Vyčleněná částka na pedagogické studijní programy pro rok 2024</t>
  </si>
  <si>
    <t>Rozpočtoví absolventi za období 1. 11. 2022 - 31. 10. 2023</t>
  </si>
  <si>
    <t>Podpora pedagogických SP s deficitními aprobacemi na nepedagogických fakultách</t>
  </si>
  <si>
    <t>Vyčleněná částka na pedagogické studijní programy s deficitními aprobacemi pro rok 2024</t>
  </si>
  <si>
    <t>Vyčleněná částka na pedagogické fakulty pro rok 2024</t>
  </si>
  <si>
    <t>Přepočtená studia k 31. 10. 2023</t>
  </si>
  <si>
    <t>Částka v rozpisu rozpočtu na rok 2024</t>
  </si>
  <si>
    <t xml:space="preserve">Zdrojem dat je statistický výstup MŠMT P1b-04 za rok 2022 a výstupy ze SIMS k 31. 10.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</si>
</sst>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#,##0\ &quot;Kč&quot;;[Red]\-#,##0\ &quot;Kč&quot;"/>
    <numFmt numFmtId="8" formatCode="#,##0.00\ &quot;Kč&quot;;[Red]\-#,##0.00\ &quot;Kč&quot;"/>
    <numFmt numFmtId="164" formatCode="_-* #,##0.00\ _K_č_-;\-* #,##0.00\ _K_č_-;_-* &quot;-&quot;??\ _K_č_-;_-@_-"/>
    <numFmt numFmtId="165" formatCode="0.000%"/>
    <numFmt numFmtId="166" formatCode="0.0%"/>
    <numFmt numFmtId="167" formatCode="#,##0\ &quot;Kč&quot;"/>
    <numFmt numFmtId="168" formatCode="#,##0.00\ &quot;Kč&quot;"/>
    <numFmt numFmtId="169" formatCode="0.0"/>
    <numFmt numFmtId="170" formatCode="#,##0.00_ ;[Red]\-#,##0.00\ "/>
    <numFmt numFmtId="171" formatCode="_-* #,##0\ [$Kč-405]_-;\-* #,##0\ [$Kč-405]_-;_-* &quot;-&quot;??\ [$Kč-405]_-;_-@_-"/>
    <numFmt numFmtId="172" formatCode="#,##0.000"/>
    <numFmt numFmtId="173" formatCode="#,##0.0000000000000"/>
    <numFmt numFmtId="174" formatCode="0.00000000000"/>
    <numFmt numFmtId="175" formatCode="0.0000000"/>
    <numFmt numFmtId="176" formatCode="_-* #,##0.00\ [$Kč-405]_-;\-* #,##0.00\ [$Kč-405]_-;_-* &quot;-&quot;??\ [$Kč-405]_-;_-@_-"/>
  </numFmts>
  <fonts count="6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22"/>
      <name val="Calibri"/>
      <family val="2"/>
      <charset val="238"/>
      <scheme val="minor"/>
    </font>
    <font>
      <sz val="13.5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Times New Roman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 CE"/>
      <charset val="238"/>
    </font>
    <font>
      <i/>
      <sz val="11"/>
      <name val="Arial"/>
      <family val="2"/>
      <charset val="238"/>
    </font>
    <font>
      <b/>
      <i/>
      <sz val="11"/>
      <color rgb="FF808080"/>
      <name val="Arial"/>
      <family val="2"/>
      <charset val="238"/>
    </font>
    <font>
      <i/>
      <sz val="11"/>
      <color indexed="23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rgb="FF808080"/>
      <name val="Arial"/>
      <family val="2"/>
      <charset val="238"/>
    </font>
    <font>
      <b/>
      <i/>
      <sz val="12"/>
      <color rgb="FF80808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0"/>
      <name val="Arial"/>
      <family val="2"/>
      <charset val="238"/>
    </font>
    <font>
      <i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sz val="15"/>
      <name val="Arial"/>
      <family val="2"/>
      <charset val="238"/>
    </font>
    <font>
      <b/>
      <sz val="16"/>
      <name val="Arial"/>
      <family val="2"/>
      <charset val="238"/>
    </font>
    <font>
      <b/>
      <sz val="20"/>
      <name val="Arial"/>
      <family val="2"/>
      <charset val="238"/>
    </font>
    <font>
      <sz val="10"/>
      <color theme="1"/>
      <name val="Arial"/>
      <family val="2"/>
      <charset val="238"/>
    </font>
    <font>
      <b/>
      <sz val="22"/>
      <color indexed="8"/>
      <name val="Arial"/>
      <family val="2"/>
      <charset val="238"/>
    </font>
    <font>
      <b/>
      <sz val="18"/>
      <color indexed="8"/>
      <name val="Arial"/>
      <family val="2"/>
      <charset val="238"/>
    </font>
    <font>
      <b/>
      <sz val="16"/>
      <color indexed="8"/>
      <name val="Arial"/>
      <family val="2"/>
      <charset val="238"/>
    </font>
    <font>
      <b/>
      <sz val="15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1"/>
      <name val="Times New Roman CE"/>
      <family val="1"/>
      <charset val="238"/>
    </font>
    <font>
      <b/>
      <sz val="2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22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22"/>
      <name val="Arial"/>
      <family val="2"/>
      <charset val="238"/>
    </font>
    <font>
      <u/>
      <sz val="11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vertAlign val="superscript"/>
      <sz val="14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9BC2E6"/>
        <bgColor indexed="64"/>
      </patternFill>
    </fill>
  </fills>
  <borders count="1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theme="9" tint="-0.499984740745262"/>
      </right>
      <top style="medium">
        <color indexed="64"/>
      </top>
      <bottom/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/>
      <diagonal/>
    </border>
    <border>
      <left style="medium">
        <color theme="9" tint="-0.499984740745262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 style="medium">
        <color theme="9" tint="-0.499984740745262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9" tint="-0.499984740745262"/>
      </right>
      <top/>
      <bottom/>
      <diagonal/>
    </border>
    <border>
      <left style="medium">
        <color theme="9" tint="-0.499984740745262"/>
      </left>
      <right style="medium">
        <color theme="9" tint="-0.499984740745262"/>
      </right>
      <top/>
      <bottom/>
      <diagonal/>
    </border>
    <border>
      <left style="medium">
        <color theme="9" tint="-0.499984740745262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theme="9" tint="-0.499984740745262"/>
      </right>
      <top/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/>
      <bottom style="medium">
        <color indexed="64"/>
      </bottom>
      <diagonal/>
    </border>
    <border>
      <left style="medium">
        <color theme="9" tint="-0.499984740745262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theme="1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theme="9" tint="-0.499984740745262"/>
      </left>
      <right style="medium">
        <color theme="9" tint="-0.499984740745262"/>
      </right>
      <top style="thin">
        <color indexed="64"/>
      </top>
      <bottom/>
      <diagonal/>
    </border>
    <border>
      <left style="medium">
        <color indexed="64"/>
      </left>
      <right style="medium">
        <color theme="1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/>
      <bottom style="thin">
        <color indexed="64"/>
      </bottom>
      <diagonal/>
    </border>
    <border>
      <left style="medium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0" fontId="2" fillId="0" borderId="0" applyFont="0"/>
    <xf numFmtId="0" fontId="4" fillId="0" borderId="0"/>
    <xf numFmtId="0" fontId="4" fillId="0" borderId="0"/>
    <xf numFmtId="0" fontId="1" fillId="0" borderId="0"/>
    <xf numFmtId="0" fontId="4" fillId="0" borderId="0"/>
    <xf numFmtId="9" fontId="1" fillId="0" borderId="0" applyFont="0" applyFill="0" applyBorder="0" applyAlignment="0" applyProtection="0"/>
    <xf numFmtId="0" fontId="1" fillId="0" borderId="0"/>
    <xf numFmtId="0" fontId="11" fillId="0" borderId="0" applyNumberFormat="0" applyFill="0" applyBorder="0" applyAlignment="0" applyProtection="0"/>
    <xf numFmtId="0" fontId="13" fillId="0" borderId="0"/>
    <xf numFmtId="0" fontId="16" fillId="0" borderId="0"/>
    <xf numFmtId="0" fontId="45" fillId="0" borderId="0"/>
    <xf numFmtId="164" fontId="1" fillId="0" borderId="0" applyFont="0" applyFill="0" applyBorder="0" applyAlignment="0" applyProtection="0"/>
  </cellStyleXfs>
  <cellXfs count="1107">
    <xf numFmtId="0" fontId="0" fillId="0" borderId="0" xfId="0"/>
    <xf numFmtId="3" fontId="8" fillId="0" borderId="17" xfId="8" applyNumberFormat="1" applyFont="1" applyBorder="1" applyAlignment="1">
      <alignment horizontal="right" vertical="center" indent="1"/>
    </xf>
    <xf numFmtId="3" fontId="8" fillId="0" borderId="18" xfId="8" applyNumberFormat="1" applyFont="1" applyBorder="1" applyAlignment="1">
      <alignment horizontal="right" vertical="center" indent="1"/>
    </xf>
    <xf numFmtId="10" fontId="6" fillId="0" borderId="20" xfId="7" applyNumberFormat="1" applyFont="1" applyFill="1" applyBorder="1" applyAlignment="1">
      <alignment horizontal="right" vertical="center" indent="1"/>
    </xf>
    <xf numFmtId="3" fontId="8" fillId="0" borderId="14" xfId="8" applyNumberFormat="1" applyFont="1" applyBorder="1" applyAlignment="1">
      <alignment horizontal="right" vertical="center" indent="1"/>
    </xf>
    <xf numFmtId="3" fontId="8" fillId="0" borderId="21" xfId="8" applyNumberFormat="1" applyFont="1" applyBorder="1" applyAlignment="1">
      <alignment horizontal="right" vertical="center" indent="1"/>
    </xf>
    <xf numFmtId="3" fontId="8" fillId="0" borderId="34" xfId="8" applyNumberFormat="1" applyFont="1" applyBorder="1" applyAlignment="1">
      <alignment horizontal="right" vertical="center" indent="1"/>
    </xf>
    <xf numFmtId="3" fontId="8" fillId="0" borderId="35" xfId="8" applyNumberFormat="1" applyFont="1" applyBorder="1" applyAlignment="1">
      <alignment horizontal="right" vertical="center" indent="1"/>
    </xf>
    <xf numFmtId="10" fontId="7" fillId="0" borderId="1" xfId="8" applyNumberFormat="1" applyFont="1" applyBorder="1" applyAlignment="1">
      <alignment horizontal="right" vertical="center" indent="1"/>
    </xf>
    <xf numFmtId="3" fontId="7" fillId="0" borderId="2" xfId="8" applyNumberFormat="1" applyFont="1" applyBorder="1" applyAlignment="1">
      <alignment horizontal="right" vertical="center" indent="1"/>
    </xf>
    <xf numFmtId="3" fontId="7" fillId="0" borderId="3" xfId="8" applyNumberFormat="1" applyFont="1" applyBorder="1" applyAlignment="1">
      <alignment horizontal="right" vertical="center" indent="1"/>
    </xf>
    <xf numFmtId="3" fontId="0" fillId="0" borderId="0" xfId="0" applyNumberFormat="1"/>
    <xf numFmtId="0" fontId="3" fillId="0" borderId="0" xfId="8" applyFont="1"/>
    <xf numFmtId="0" fontId="8" fillId="0" borderId="0" xfId="8" applyFont="1"/>
    <xf numFmtId="0" fontId="9" fillId="0" borderId="0" xfId="8" applyFont="1"/>
    <xf numFmtId="0" fontId="1" fillId="0" borderId="0" xfId="8"/>
    <xf numFmtId="0" fontId="7" fillId="0" borderId="0" xfId="8" applyFont="1"/>
    <xf numFmtId="3" fontId="7" fillId="0" borderId="0" xfId="8" applyNumberFormat="1" applyFont="1"/>
    <xf numFmtId="0" fontId="1" fillId="0" borderId="0" xfId="8" applyAlignment="1">
      <alignment horizontal="right"/>
    </xf>
    <xf numFmtId="3" fontId="8" fillId="0" borderId="19" xfId="8" applyNumberFormat="1" applyFont="1" applyBorder="1" applyAlignment="1">
      <alignment horizontal="right" vertical="center" indent="1"/>
    </xf>
    <xf numFmtId="10" fontId="6" fillId="0" borderId="16" xfId="7" applyNumberFormat="1" applyFont="1" applyFill="1" applyBorder="1" applyAlignment="1">
      <alignment horizontal="right" vertical="center" indent="1"/>
    </xf>
    <xf numFmtId="3" fontId="8" fillId="0" borderId="37" xfId="8" applyNumberFormat="1" applyFont="1" applyBorder="1" applyAlignment="1">
      <alignment horizontal="right" vertical="center" indent="1"/>
    </xf>
    <xf numFmtId="3" fontId="7" fillId="0" borderId="4" xfId="8" applyNumberFormat="1" applyFont="1" applyBorder="1" applyAlignment="1">
      <alignment horizontal="right" vertical="center" indent="1"/>
    </xf>
    <xf numFmtId="10" fontId="7" fillId="0" borderId="41" xfId="8" applyNumberFormat="1" applyFont="1" applyBorder="1" applyAlignment="1">
      <alignment horizontal="right" vertical="center" indent="1"/>
    </xf>
    <xf numFmtId="0" fontId="10" fillId="0" borderId="0" xfId="8" applyFont="1"/>
    <xf numFmtId="3" fontId="1" fillId="0" borderId="0" xfId="8" applyNumberFormat="1"/>
    <xf numFmtId="165" fontId="7" fillId="0" borderId="0" xfId="1" applyNumberFormat="1" applyFont="1"/>
    <xf numFmtId="165" fontId="7" fillId="0" borderId="0" xfId="1" applyNumberFormat="1" applyFont="1" applyBorder="1"/>
    <xf numFmtId="0" fontId="8" fillId="0" borderId="20" xfId="8" applyFont="1" applyBorder="1" applyAlignment="1">
      <alignment horizontal="center" vertical="center"/>
    </xf>
    <xf numFmtId="0" fontId="8" fillId="0" borderId="43" xfId="8" applyFont="1" applyBorder="1" applyAlignment="1">
      <alignment horizontal="center" vertical="center"/>
    </xf>
    <xf numFmtId="10" fontId="6" fillId="0" borderId="44" xfId="7" applyNumberFormat="1" applyFont="1" applyFill="1" applyBorder="1" applyAlignment="1">
      <alignment horizontal="right" vertical="center" indent="1"/>
    </xf>
    <xf numFmtId="0" fontId="8" fillId="0" borderId="12" xfId="5" applyFont="1" applyBorder="1" applyAlignment="1">
      <alignment horizontal="left" vertical="center" wrapText="1" indent="1"/>
    </xf>
    <xf numFmtId="0" fontId="8" fillId="0" borderId="19" xfId="5" applyFont="1" applyBorder="1" applyAlignment="1">
      <alignment horizontal="left" vertical="center" wrapText="1" indent="1"/>
    </xf>
    <xf numFmtId="10" fontId="8" fillId="0" borderId="43" xfId="8" applyNumberFormat="1" applyFont="1" applyBorder="1" applyAlignment="1">
      <alignment horizontal="right" vertical="center" indent="1"/>
    </xf>
    <xf numFmtId="10" fontId="8" fillId="0" borderId="20" xfId="8" applyNumberFormat="1" applyFont="1" applyBorder="1" applyAlignment="1">
      <alignment horizontal="right" vertical="center" indent="1"/>
    </xf>
    <xf numFmtId="0" fontId="8" fillId="0" borderId="33" xfId="8" applyFont="1" applyBorder="1" applyAlignment="1">
      <alignment horizontal="center" vertical="center"/>
    </xf>
    <xf numFmtId="0" fontId="8" fillId="0" borderId="37" xfId="5" applyFont="1" applyBorder="1" applyAlignment="1">
      <alignment horizontal="left" vertical="center" wrapText="1" indent="1"/>
    </xf>
    <xf numFmtId="10" fontId="6" fillId="0" borderId="36" xfId="7" applyNumberFormat="1" applyFont="1" applyFill="1" applyBorder="1" applyAlignment="1">
      <alignment horizontal="right" vertical="center" indent="1"/>
    </xf>
    <xf numFmtId="0" fontId="11" fillId="0" borderId="0" xfId="9"/>
    <xf numFmtId="0" fontId="0" fillId="0" borderId="0" xfId="0" applyAlignment="1">
      <alignment horizontal="right"/>
    </xf>
    <xf numFmtId="0" fontId="5" fillId="6" borderId="0" xfId="10" applyFont="1" applyFill="1" applyAlignment="1">
      <alignment horizontal="left" vertical="center"/>
    </xf>
    <xf numFmtId="0" fontId="5" fillId="6" borderId="0" xfId="10" applyFont="1" applyFill="1" applyAlignment="1">
      <alignment vertical="center"/>
    </xf>
    <xf numFmtId="0" fontId="6" fillId="6" borderId="0" xfId="10" applyFont="1" applyFill="1" applyAlignment="1">
      <alignment vertical="center"/>
    </xf>
    <xf numFmtId="166" fontId="6" fillId="6" borderId="0" xfId="10" applyNumberFormat="1" applyFont="1" applyFill="1" applyAlignment="1">
      <alignment horizontal="right" vertical="center"/>
    </xf>
    <xf numFmtId="166" fontId="6" fillId="6" borderId="0" xfId="10" applyNumberFormat="1" applyFont="1" applyFill="1" applyAlignment="1">
      <alignment vertical="center"/>
    </xf>
    <xf numFmtId="0" fontId="6" fillId="6" borderId="0" xfId="10" applyFont="1" applyFill="1" applyAlignment="1">
      <alignment horizontal="right" vertical="center"/>
    </xf>
    <xf numFmtId="0" fontId="0" fillId="6" borderId="0" xfId="0" applyFill="1"/>
    <xf numFmtId="0" fontId="14" fillId="6" borderId="2" xfId="10" applyFont="1" applyFill="1" applyBorder="1" applyAlignment="1">
      <alignment horizontal="center" vertical="center" wrapText="1"/>
    </xf>
    <xf numFmtId="0" fontId="14" fillId="6" borderId="3" xfId="10" applyFont="1" applyFill="1" applyBorder="1" applyAlignment="1">
      <alignment horizontal="center" vertical="center" wrapText="1"/>
    </xf>
    <xf numFmtId="0" fontId="14" fillId="0" borderId="2" xfId="10" applyFont="1" applyBorder="1" applyAlignment="1">
      <alignment horizontal="center" vertical="center" wrapText="1"/>
    </xf>
    <xf numFmtId="0" fontId="14" fillId="7" borderId="2" xfId="10" applyFont="1" applyFill="1" applyBorder="1" applyAlignment="1">
      <alignment horizontal="center" vertical="center" wrapText="1"/>
    </xf>
    <xf numFmtId="0" fontId="15" fillId="6" borderId="6" xfId="10" applyFont="1" applyFill="1" applyBorder="1" applyAlignment="1">
      <alignment horizontal="center" vertical="center" wrapText="1"/>
    </xf>
    <xf numFmtId="3" fontId="5" fillId="6" borderId="10" xfId="10" applyNumberFormat="1" applyFont="1" applyFill="1" applyBorder="1" applyAlignment="1">
      <alignment horizontal="center" vertical="center" wrapText="1"/>
    </xf>
    <xf numFmtId="3" fontId="5" fillId="6" borderId="11" xfId="10" applyNumberFormat="1" applyFont="1" applyFill="1" applyBorder="1" applyAlignment="1">
      <alignment horizontal="center" vertical="center" wrapText="1"/>
    </xf>
    <xf numFmtId="3" fontId="5" fillId="0" borderId="10" xfId="10" applyNumberFormat="1" applyFont="1" applyBorder="1" applyAlignment="1">
      <alignment horizontal="center" vertical="center"/>
    </xf>
    <xf numFmtId="6" fontId="5" fillId="6" borderId="14" xfId="10" applyNumberFormat="1" applyFont="1" applyFill="1" applyBorder="1" applyAlignment="1">
      <alignment horizontal="center" vertical="center"/>
    </xf>
    <xf numFmtId="167" fontId="5" fillId="7" borderId="11" xfId="10" applyNumberFormat="1" applyFont="1" applyFill="1" applyBorder="1" applyAlignment="1">
      <alignment horizontal="center" vertical="center"/>
    </xf>
    <xf numFmtId="10" fontId="6" fillId="6" borderId="15" xfId="10" applyNumberFormat="1" applyFont="1" applyFill="1" applyBorder="1" applyAlignment="1">
      <alignment horizontal="center" vertical="center"/>
    </xf>
    <xf numFmtId="3" fontId="5" fillId="6" borderId="18" xfId="10" applyNumberFormat="1" applyFont="1" applyFill="1" applyBorder="1" applyAlignment="1">
      <alignment horizontal="center" vertical="center" wrapText="1"/>
    </xf>
    <xf numFmtId="3" fontId="5" fillId="0" borderId="17" xfId="10" applyNumberFormat="1" applyFont="1" applyBorder="1" applyAlignment="1">
      <alignment horizontal="center" vertical="center"/>
    </xf>
    <xf numFmtId="10" fontId="6" fillId="6" borderId="19" xfId="10" applyNumberFormat="1" applyFont="1" applyFill="1" applyBorder="1" applyAlignment="1">
      <alignment horizontal="center" vertical="center"/>
    </xf>
    <xf numFmtId="167" fontId="5" fillId="7" borderId="21" xfId="10" applyNumberFormat="1" applyFont="1" applyFill="1" applyBorder="1" applyAlignment="1">
      <alignment horizontal="center" vertical="center"/>
    </xf>
    <xf numFmtId="3" fontId="5" fillId="6" borderId="23" xfId="10" applyNumberFormat="1" applyFont="1" applyFill="1" applyBorder="1" applyAlignment="1">
      <alignment horizontal="center" vertical="center" wrapText="1"/>
    </xf>
    <xf numFmtId="3" fontId="5" fillId="6" borderId="24" xfId="10" applyNumberFormat="1" applyFont="1" applyFill="1" applyBorder="1" applyAlignment="1">
      <alignment horizontal="center" vertical="center" wrapText="1"/>
    </xf>
    <xf numFmtId="3" fontId="5" fillId="0" borderId="23" xfId="10" applyNumberFormat="1" applyFont="1" applyBorder="1" applyAlignment="1">
      <alignment horizontal="center" vertical="center"/>
    </xf>
    <xf numFmtId="10" fontId="0" fillId="6" borderId="0" xfId="1" applyNumberFormat="1" applyFont="1" applyFill="1"/>
    <xf numFmtId="8" fontId="5" fillId="6" borderId="23" xfId="10" applyNumberFormat="1" applyFont="1" applyFill="1" applyBorder="1" applyAlignment="1">
      <alignment horizontal="center" vertical="center"/>
    </xf>
    <xf numFmtId="168" fontId="5" fillId="7" borderId="24" xfId="10" applyNumberFormat="1" applyFont="1" applyFill="1" applyBorder="1" applyAlignment="1">
      <alignment horizontal="center" vertical="center"/>
    </xf>
    <xf numFmtId="10" fontId="6" fillId="6" borderId="26" xfId="10" applyNumberFormat="1" applyFont="1" applyFill="1" applyBorder="1" applyAlignment="1">
      <alignment horizontal="center" vertical="center"/>
    </xf>
    <xf numFmtId="0" fontId="5" fillId="6" borderId="0" xfId="10" applyFont="1" applyFill="1" applyAlignment="1">
      <alignment horizontal="left" vertical="center" wrapText="1"/>
    </xf>
    <xf numFmtId="1" fontId="5" fillId="0" borderId="1" xfId="10" applyNumberFormat="1" applyFont="1" applyBorder="1" applyAlignment="1">
      <alignment horizontal="center" vertical="center"/>
    </xf>
    <xf numFmtId="1" fontId="5" fillId="0" borderId="2" xfId="10" applyNumberFormat="1" applyFont="1" applyBorder="1" applyAlignment="1">
      <alignment horizontal="center" vertical="center"/>
    </xf>
    <xf numFmtId="1" fontId="5" fillId="0" borderId="30" xfId="10" applyNumberFormat="1" applyFont="1" applyBorder="1" applyAlignment="1">
      <alignment horizontal="center" vertical="center"/>
    </xf>
    <xf numFmtId="1" fontId="18" fillId="0" borderId="29" xfId="10" applyNumberFormat="1" applyFont="1" applyBorder="1" applyAlignment="1">
      <alignment horizontal="center" vertical="center"/>
    </xf>
    <xf numFmtId="1" fontId="18" fillId="0" borderId="32" xfId="10" applyNumberFormat="1" applyFont="1" applyBorder="1" applyAlignment="1">
      <alignment horizontal="center" vertical="center"/>
    </xf>
    <xf numFmtId="1" fontId="7" fillId="8" borderId="74" xfId="10" applyNumberFormat="1" applyFont="1" applyFill="1" applyBorder="1" applyAlignment="1">
      <alignment horizontal="center" vertical="center"/>
    </xf>
    <xf numFmtId="1" fontId="18" fillId="0" borderId="31" xfId="10" applyNumberFormat="1" applyFont="1" applyBorder="1" applyAlignment="1">
      <alignment horizontal="center" vertical="center"/>
    </xf>
    <xf numFmtId="1" fontId="7" fillId="7" borderId="76" xfId="10" applyNumberFormat="1" applyFont="1" applyFill="1" applyBorder="1" applyAlignment="1">
      <alignment horizontal="center" vertical="center"/>
    </xf>
    <xf numFmtId="0" fontId="17" fillId="6" borderId="64" xfId="10" applyFont="1" applyFill="1" applyBorder="1" applyAlignment="1">
      <alignment vertical="center"/>
    </xf>
    <xf numFmtId="0" fontId="17" fillId="6" borderId="0" xfId="10" applyFont="1" applyFill="1" applyAlignment="1">
      <alignment vertical="center"/>
    </xf>
    <xf numFmtId="0" fontId="20" fillId="6" borderId="0" xfId="10" applyFont="1" applyFill="1" applyAlignment="1">
      <alignment vertical="center"/>
    </xf>
    <xf numFmtId="3" fontId="17" fillId="6" borderId="0" xfId="10" applyNumberFormat="1" applyFont="1" applyFill="1" applyAlignment="1">
      <alignment horizontal="center" vertical="center"/>
    </xf>
    <xf numFmtId="10" fontId="21" fillId="6" borderId="0" xfId="10" applyNumberFormat="1" applyFont="1" applyFill="1" applyAlignment="1">
      <alignment horizontal="center" vertical="center"/>
    </xf>
    <xf numFmtId="0" fontId="21" fillId="6" borderId="0" xfId="10" applyFont="1" applyFill="1" applyAlignment="1">
      <alignment vertical="center"/>
    </xf>
    <xf numFmtId="3" fontId="22" fillId="8" borderId="68" xfId="10" applyNumberFormat="1" applyFont="1" applyFill="1" applyBorder="1" applyAlignment="1">
      <alignment horizontal="center" vertical="center"/>
    </xf>
    <xf numFmtId="0" fontId="21" fillId="6" borderId="78" xfId="10" applyFont="1" applyFill="1" applyBorder="1" applyAlignment="1">
      <alignment vertical="center"/>
    </xf>
    <xf numFmtId="3" fontId="22" fillId="7" borderId="70" xfId="10" applyNumberFormat="1" applyFont="1" applyFill="1" applyBorder="1" applyAlignment="1">
      <alignment horizontal="center" vertical="center"/>
    </xf>
    <xf numFmtId="0" fontId="23" fillId="6" borderId="0" xfId="10" applyFont="1" applyFill="1" applyAlignment="1">
      <alignment vertical="center"/>
    </xf>
    <xf numFmtId="3" fontId="24" fillId="8" borderId="68" xfId="10" applyNumberFormat="1" applyFont="1" applyFill="1" applyBorder="1" applyAlignment="1">
      <alignment horizontal="center" vertical="center"/>
    </xf>
    <xf numFmtId="3" fontId="24" fillId="7" borderId="70" xfId="10" applyNumberFormat="1" applyFont="1" applyFill="1" applyBorder="1" applyAlignment="1">
      <alignment horizontal="center" vertical="center"/>
    </xf>
    <xf numFmtId="0" fontId="17" fillId="6" borderId="13" xfId="10" applyFont="1" applyFill="1" applyBorder="1" applyAlignment="1">
      <alignment vertical="center"/>
    </xf>
    <xf numFmtId="0" fontId="17" fillId="6" borderId="10" xfId="10" applyFont="1" applyFill="1" applyBorder="1" applyAlignment="1">
      <alignment vertical="center"/>
    </xf>
    <xf numFmtId="3" fontId="6" fillId="6" borderId="52" xfId="10" applyNumberFormat="1" applyFont="1" applyFill="1" applyBorder="1" applyAlignment="1">
      <alignment vertical="center"/>
    </xf>
    <xf numFmtId="166" fontId="21" fillId="6" borderId="58" xfId="10" applyNumberFormat="1" applyFont="1" applyFill="1" applyBorder="1" applyAlignment="1">
      <alignment vertical="center"/>
    </xf>
    <xf numFmtId="166" fontId="21" fillId="6" borderId="55" xfId="10" applyNumberFormat="1" applyFont="1" applyFill="1" applyBorder="1" applyAlignment="1">
      <alignment vertical="center"/>
    </xf>
    <xf numFmtId="3" fontId="8" fillId="8" borderId="79" xfId="10" applyNumberFormat="1" applyFont="1" applyFill="1" applyBorder="1" applyAlignment="1">
      <alignment vertical="center"/>
    </xf>
    <xf numFmtId="166" fontId="21" fillId="6" borderId="6" xfId="10" applyNumberFormat="1" applyFont="1" applyFill="1" applyBorder="1" applyAlignment="1">
      <alignment vertical="center"/>
    </xf>
    <xf numFmtId="3" fontId="8" fillId="7" borderId="80" xfId="10" applyNumberFormat="1" applyFont="1" applyFill="1" applyBorder="1" applyAlignment="1">
      <alignment vertical="center"/>
    </xf>
    <xf numFmtId="0" fontId="17" fillId="6" borderId="33" xfId="10" applyFont="1" applyFill="1" applyBorder="1" applyAlignment="1">
      <alignment vertical="center"/>
    </xf>
    <xf numFmtId="0" fontId="17" fillId="6" borderId="34" xfId="10" applyFont="1" applyFill="1" applyBorder="1" applyAlignment="1">
      <alignment vertical="center" wrapText="1"/>
    </xf>
    <xf numFmtId="3" fontId="6" fillId="6" borderId="34" xfId="10" applyNumberFormat="1" applyFont="1" applyFill="1" applyBorder="1" applyAlignment="1">
      <alignment vertical="center"/>
    </xf>
    <xf numFmtId="166" fontId="21" fillId="6" borderId="36" xfId="10" applyNumberFormat="1" applyFont="1" applyFill="1" applyBorder="1" applyAlignment="1">
      <alignment vertical="center"/>
    </xf>
    <xf numFmtId="166" fontId="21" fillId="6" borderId="35" xfId="10" applyNumberFormat="1" applyFont="1" applyFill="1" applyBorder="1" applyAlignment="1">
      <alignment horizontal="right" vertical="center"/>
    </xf>
    <xf numFmtId="3" fontId="8" fillId="8" borderId="82" xfId="10" applyNumberFormat="1" applyFont="1" applyFill="1" applyBorder="1" applyAlignment="1">
      <alignment vertical="center"/>
    </xf>
    <xf numFmtId="166" fontId="21" fillId="6" borderId="37" xfId="10" applyNumberFormat="1" applyFont="1" applyFill="1" applyBorder="1" applyAlignment="1">
      <alignment horizontal="right" vertical="center"/>
    </xf>
    <xf numFmtId="3" fontId="8" fillId="7" borderId="83" xfId="10" applyNumberFormat="1" applyFont="1" applyFill="1" applyBorder="1" applyAlignment="1">
      <alignment vertical="center"/>
    </xf>
    <xf numFmtId="0" fontId="17" fillId="6" borderId="22" xfId="10" applyFont="1" applyFill="1" applyBorder="1" applyAlignment="1">
      <alignment vertical="center"/>
    </xf>
    <xf numFmtId="0" fontId="17" fillId="6" borderId="23" xfId="10" applyFont="1" applyFill="1" applyBorder="1" applyAlignment="1">
      <alignment vertical="center" wrapText="1"/>
    </xf>
    <xf numFmtId="3" fontId="6" fillId="6" borderId="23" xfId="10" applyNumberFormat="1" applyFont="1" applyFill="1" applyBorder="1" applyAlignment="1">
      <alignment vertical="center"/>
    </xf>
    <xf numFmtId="166" fontId="21" fillId="6" borderId="85" xfId="10" applyNumberFormat="1" applyFont="1" applyFill="1" applyBorder="1" applyAlignment="1">
      <alignment vertical="center"/>
    </xf>
    <xf numFmtId="166" fontId="21" fillId="6" borderId="24" xfId="10" applyNumberFormat="1" applyFont="1" applyFill="1" applyBorder="1" applyAlignment="1">
      <alignment horizontal="right" vertical="center"/>
    </xf>
    <xf numFmtId="3" fontId="8" fillId="8" borderId="86" xfId="10" applyNumberFormat="1" applyFont="1" applyFill="1" applyBorder="1" applyAlignment="1">
      <alignment vertical="center"/>
    </xf>
    <xf numFmtId="166" fontId="21" fillId="6" borderId="26" xfId="10" applyNumberFormat="1" applyFont="1" applyFill="1" applyBorder="1" applyAlignment="1">
      <alignment horizontal="right" vertical="center"/>
    </xf>
    <xf numFmtId="3" fontId="8" fillId="7" borderId="87" xfId="10" applyNumberFormat="1" applyFont="1" applyFill="1" applyBorder="1" applyAlignment="1">
      <alignment vertical="center"/>
    </xf>
    <xf numFmtId="0" fontId="25" fillId="6" borderId="38" xfId="10" applyFont="1" applyFill="1" applyBorder="1" applyAlignment="1">
      <alignment vertical="center"/>
    </xf>
    <xf numFmtId="0" fontId="25" fillId="6" borderId="30" xfId="10" applyFont="1" applyFill="1" applyBorder="1" applyAlignment="1">
      <alignment vertical="center" wrapText="1"/>
    </xf>
    <xf numFmtId="3" fontId="23" fillId="6" borderId="30" xfId="10" applyNumberFormat="1" applyFont="1" applyFill="1" applyBorder="1" applyAlignment="1">
      <alignment horizontal="right" vertical="center"/>
    </xf>
    <xf numFmtId="166" fontId="26" fillId="6" borderId="29" xfId="10" applyNumberFormat="1" applyFont="1" applyFill="1" applyBorder="1" applyAlignment="1">
      <alignment horizontal="right" vertical="center"/>
    </xf>
    <xf numFmtId="166" fontId="27" fillId="6" borderId="32" xfId="10" applyNumberFormat="1" applyFont="1" applyFill="1" applyBorder="1" applyAlignment="1">
      <alignment horizontal="right" vertical="center"/>
    </xf>
    <xf numFmtId="3" fontId="28" fillId="8" borderId="74" xfId="10" applyNumberFormat="1" applyFont="1" applyFill="1" applyBorder="1" applyAlignment="1">
      <alignment horizontal="right" vertical="center"/>
    </xf>
    <xf numFmtId="166" fontId="27" fillId="6" borderId="31" xfId="10" applyNumberFormat="1" applyFont="1" applyFill="1" applyBorder="1" applyAlignment="1">
      <alignment horizontal="right" vertical="center"/>
    </xf>
    <xf numFmtId="3" fontId="28" fillId="7" borderId="76" xfId="10" applyNumberFormat="1" applyFont="1" applyFill="1" applyBorder="1" applyAlignment="1">
      <alignment horizontal="right" vertical="center"/>
    </xf>
    <xf numFmtId="3" fontId="17" fillId="6" borderId="0" xfId="10" applyNumberFormat="1" applyFont="1" applyFill="1" applyAlignment="1">
      <alignment horizontal="right" vertical="center"/>
    </xf>
    <xf numFmtId="0" fontId="21" fillId="6" borderId="0" xfId="3" applyFont="1" applyFill="1" applyAlignment="1">
      <alignment horizontal="right"/>
    </xf>
    <xf numFmtId="169" fontId="21" fillId="6" borderId="0" xfId="10" applyNumberFormat="1" applyFont="1" applyFill="1" applyAlignment="1">
      <alignment horizontal="right" vertical="center"/>
    </xf>
    <xf numFmtId="3" fontId="22" fillId="8" borderId="68" xfId="10" applyNumberFormat="1" applyFont="1" applyFill="1" applyBorder="1" applyAlignment="1">
      <alignment horizontal="right" vertical="center"/>
    </xf>
    <xf numFmtId="169" fontId="21" fillId="6" borderId="78" xfId="10" applyNumberFormat="1" applyFont="1" applyFill="1" applyBorder="1" applyAlignment="1">
      <alignment horizontal="right" vertical="center"/>
    </xf>
    <xf numFmtId="3" fontId="22" fillId="7" borderId="70" xfId="10" applyNumberFormat="1" applyFont="1" applyFill="1" applyBorder="1" applyAlignment="1">
      <alignment horizontal="right" vertical="center"/>
    </xf>
    <xf numFmtId="166" fontId="21" fillId="6" borderId="0" xfId="10" applyNumberFormat="1" applyFont="1" applyFill="1" applyAlignment="1">
      <alignment horizontal="right" vertical="center"/>
    </xf>
    <xf numFmtId="166" fontId="21" fillId="6" borderId="78" xfId="10" applyNumberFormat="1" applyFont="1" applyFill="1" applyBorder="1" applyAlignment="1">
      <alignment horizontal="right" vertical="center"/>
    </xf>
    <xf numFmtId="3" fontId="6" fillId="6" borderId="10" xfId="10" applyNumberFormat="1" applyFont="1" applyFill="1" applyBorder="1" applyAlignment="1">
      <alignment horizontal="right" vertical="center"/>
    </xf>
    <xf numFmtId="166" fontId="21" fillId="6" borderId="9" xfId="10" applyNumberFormat="1" applyFont="1" applyFill="1" applyBorder="1" applyAlignment="1">
      <alignment horizontal="right" vertical="center"/>
    </xf>
    <xf numFmtId="166" fontId="21" fillId="6" borderId="11" xfId="10" applyNumberFormat="1" applyFont="1" applyFill="1" applyBorder="1" applyAlignment="1">
      <alignment horizontal="right" vertical="center"/>
    </xf>
    <xf numFmtId="3" fontId="8" fillId="8" borderId="79" xfId="10" applyNumberFormat="1" applyFont="1" applyFill="1" applyBorder="1" applyAlignment="1">
      <alignment horizontal="right" vertical="center"/>
    </xf>
    <xf numFmtId="166" fontId="21" fillId="6" borderId="39" xfId="10" applyNumberFormat="1" applyFont="1" applyFill="1" applyBorder="1" applyAlignment="1">
      <alignment horizontal="right" vertical="center"/>
    </xf>
    <xf numFmtId="3" fontId="8" fillId="7" borderId="80" xfId="10" applyNumberFormat="1" applyFont="1" applyFill="1" applyBorder="1" applyAlignment="1">
      <alignment horizontal="right" vertical="center"/>
    </xf>
    <xf numFmtId="0" fontId="17" fillId="6" borderId="20" xfId="10" applyFont="1" applyFill="1" applyBorder="1" applyAlignment="1">
      <alignment vertical="center"/>
    </xf>
    <xf numFmtId="0" fontId="17" fillId="6" borderId="14" xfId="10" applyFont="1" applyFill="1" applyBorder="1" applyAlignment="1">
      <alignment vertical="center"/>
    </xf>
    <xf numFmtId="3" fontId="6" fillId="6" borderId="14" xfId="10" applyNumberFormat="1" applyFont="1" applyFill="1" applyBorder="1" applyAlignment="1">
      <alignment horizontal="right" vertical="center"/>
    </xf>
    <xf numFmtId="166" fontId="21" fillId="6" borderId="16" xfId="10" applyNumberFormat="1" applyFont="1" applyFill="1" applyBorder="1" applyAlignment="1">
      <alignment horizontal="right" vertical="center"/>
    </xf>
    <xf numFmtId="166" fontId="21" fillId="6" borderId="21" xfId="10" applyNumberFormat="1" applyFont="1" applyFill="1" applyBorder="1" applyAlignment="1">
      <alignment horizontal="right" vertical="center"/>
    </xf>
    <xf numFmtId="3" fontId="8" fillId="8" borderId="88" xfId="10" applyNumberFormat="1" applyFont="1" applyFill="1" applyBorder="1" applyAlignment="1">
      <alignment horizontal="right" vertical="center"/>
    </xf>
    <xf numFmtId="166" fontId="21" fillId="6" borderId="40" xfId="10" applyNumberFormat="1" applyFont="1" applyFill="1" applyBorder="1" applyAlignment="1">
      <alignment horizontal="right" vertical="center"/>
    </xf>
    <xf numFmtId="3" fontId="8" fillId="7" borderId="89" xfId="10" applyNumberFormat="1" applyFont="1" applyFill="1" applyBorder="1" applyAlignment="1">
      <alignment horizontal="right" vertical="center"/>
    </xf>
    <xf numFmtId="0" fontId="17" fillId="6" borderId="23" xfId="10" applyFont="1" applyFill="1" applyBorder="1" applyAlignment="1">
      <alignment vertical="center"/>
    </xf>
    <xf numFmtId="3" fontId="6" fillId="6" borderId="23" xfId="10" applyNumberFormat="1" applyFont="1" applyFill="1" applyBorder="1" applyAlignment="1">
      <alignment horizontal="right" vertical="center"/>
    </xf>
    <xf numFmtId="166" fontId="21" fillId="6" borderId="85" xfId="10" applyNumberFormat="1" applyFont="1" applyFill="1" applyBorder="1" applyAlignment="1">
      <alignment horizontal="right" vertical="center"/>
    </xf>
    <xf numFmtId="3" fontId="8" fillId="8" borderId="86" xfId="10" applyNumberFormat="1" applyFont="1" applyFill="1" applyBorder="1" applyAlignment="1">
      <alignment horizontal="right" vertical="center"/>
    </xf>
    <xf numFmtId="166" fontId="21" fillId="6" borderId="25" xfId="10" applyNumberFormat="1" applyFont="1" applyFill="1" applyBorder="1" applyAlignment="1">
      <alignment horizontal="right" vertical="center"/>
    </xf>
    <xf numFmtId="3" fontId="8" fillId="7" borderId="87" xfId="10" applyNumberFormat="1" applyFont="1" applyFill="1" applyBorder="1" applyAlignment="1">
      <alignment horizontal="right" vertical="center"/>
    </xf>
    <xf numFmtId="0" fontId="17" fillId="6" borderId="34" xfId="10" applyFont="1" applyFill="1" applyBorder="1" applyAlignment="1">
      <alignment vertical="center"/>
    </xf>
    <xf numFmtId="166" fontId="21" fillId="6" borderId="19" xfId="10" applyNumberFormat="1" applyFont="1" applyFill="1" applyBorder="1" applyAlignment="1">
      <alignment horizontal="right" vertical="center"/>
    </xf>
    <xf numFmtId="0" fontId="17" fillId="6" borderId="18" xfId="10" applyFont="1" applyFill="1" applyBorder="1" applyAlignment="1">
      <alignment vertical="center"/>
    </xf>
    <xf numFmtId="3" fontId="17" fillId="6" borderId="17" xfId="10" applyNumberFormat="1" applyFont="1" applyFill="1" applyBorder="1" applyAlignment="1">
      <alignment horizontal="right" vertical="center"/>
    </xf>
    <xf numFmtId="3" fontId="24" fillId="8" borderId="90" xfId="10" applyNumberFormat="1" applyFont="1" applyFill="1" applyBorder="1" applyAlignment="1">
      <alignment horizontal="right" vertical="center"/>
    </xf>
    <xf numFmtId="3" fontId="24" fillId="7" borderId="91" xfId="10" applyNumberFormat="1" applyFont="1" applyFill="1" applyBorder="1" applyAlignment="1">
      <alignment horizontal="right" vertical="center"/>
    </xf>
    <xf numFmtId="0" fontId="17" fillId="6" borderId="66" xfId="10" applyFont="1" applyFill="1" applyBorder="1" applyAlignment="1">
      <alignment vertical="center"/>
    </xf>
    <xf numFmtId="0" fontId="17" fillId="6" borderId="21" xfId="10" applyFont="1" applyFill="1" applyBorder="1" applyAlignment="1">
      <alignment vertical="center"/>
    </xf>
    <xf numFmtId="0" fontId="17" fillId="6" borderId="54" xfId="10" applyFont="1" applyFill="1" applyBorder="1" applyAlignment="1">
      <alignment vertical="center"/>
    </xf>
    <xf numFmtId="0" fontId="17" fillId="6" borderId="16" xfId="10" applyFont="1" applyFill="1" applyBorder="1" applyAlignment="1">
      <alignment vertical="center"/>
    </xf>
    <xf numFmtId="3" fontId="17" fillId="6" borderId="54" xfId="10" applyNumberFormat="1" applyFont="1" applyFill="1" applyBorder="1" applyAlignment="1">
      <alignment horizontal="right" vertical="center"/>
    </xf>
    <xf numFmtId="3" fontId="17" fillId="6" borderId="14" xfId="10" applyNumberFormat="1" applyFont="1" applyFill="1" applyBorder="1" applyAlignment="1">
      <alignment horizontal="right" vertical="center"/>
    </xf>
    <xf numFmtId="3" fontId="24" fillId="8" borderId="88" xfId="10" applyNumberFormat="1" applyFont="1" applyFill="1" applyBorder="1" applyAlignment="1">
      <alignment horizontal="right" vertical="center"/>
    </xf>
    <xf numFmtId="3" fontId="24" fillId="7" borderId="89" xfId="10" applyNumberFormat="1" applyFont="1" applyFill="1" applyBorder="1" applyAlignment="1">
      <alignment horizontal="right" vertical="center"/>
    </xf>
    <xf numFmtId="0" fontId="17" fillId="6" borderId="17" xfId="10" applyFont="1" applyFill="1" applyBorder="1" applyAlignment="1">
      <alignment vertical="center"/>
    </xf>
    <xf numFmtId="0" fontId="17" fillId="6" borderId="92" xfId="10" applyFont="1" applyFill="1" applyBorder="1" applyAlignment="1">
      <alignment vertical="center"/>
    </xf>
    <xf numFmtId="0" fontId="17" fillId="6" borderId="93" xfId="10" applyFont="1" applyFill="1" applyBorder="1" applyAlignment="1">
      <alignment vertical="center"/>
    </xf>
    <xf numFmtId="0" fontId="17" fillId="6" borderId="1" xfId="10" applyFont="1" applyFill="1" applyBorder="1" applyAlignment="1">
      <alignment vertical="center"/>
    </xf>
    <xf numFmtId="0" fontId="17" fillId="6" borderId="3" xfId="10" applyFont="1" applyFill="1" applyBorder="1" applyAlignment="1">
      <alignment vertical="center"/>
    </xf>
    <xf numFmtId="0" fontId="6" fillId="6" borderId="3" xfId="10" applyFont="1" applyFill="1" applyBorder="1" applyAlignment="1">
      <alignment vertical="center"/>
    </xf>
    <xf numFmtId="0" fontId="6" fillId="6" borderId="77" xfId="10" applyFont="1" applyFill="1" applyBorder="1" applyAlignment="1">
      <alignment vertical="center"/>
    </xf>
    <xf numFmtId="3" fontId="6" fillId="6" borderId="2" xfId="10" applyNumberFormat="1" applyFont="1" applyFill="1" applyBorder="1" applyAlignment="1">
      <alignment horizontal="right" vertical="center"/>
    </xf>
    <xf numFmtId="166" fontId="21" fillId="6" borderId="41" xfId="10" applyNumberFormat="1" applyFont="1" applyFill="1" applyBorder="1" applyAlignment="1">
      <alignment horizontal="right" vertical="center"/>
    </xf>
    <xf numFmtId="166" fontId="21" fillId="6" borderId="3" xfId="10" applyNumberFormat="1" applyFont="1" applyFill="1" applyBorder="1" applyAlignment="1">
      <alignment horizontal="right" vertical="center"/>
    </xf>
    <xf numFmtId="3" fontId="8" fillId="8" borderId="94" xfId="10" applyNumberFormat="1" applyFont="1" applyFill="1" applyBorder="1" applyAlignment="1">
      <alignment horizontal="right" vertical="center"/>
    </xf>
    <xf numFmtId="166" fontId="21" fillId="6" borderId="4" xfId="10" applyNumberFormat="1" applyFont="1" applyFill="1" applyBorder="1" applyAlignment="1">
      <alignment horizontal="right" vertical="center"/>
    </xf>
    <xf numFmtId="3" fontId="8" fillId="7" borderId="95" xfId="10" applyNumberFormat="1" applyFont="1" applyFill="1" applyBorder="1" applyAlignment="1">
      <alignment horizontal="right" vertical="center"/>
    </xf>
    <xf numFmtId="0" fontId="17" fillId="0" borderId="20" xfId="10" applyFont="1" applyBorder="1" applyAlignment="1">
      <alignment vertical="center"/>
    </xf>
    <xf numFmtId="0" fontId="17" fillId="0" borderId="21" xfId="10" applyFont="1" applyBorder="1" applyAlignment="1">
      <alignment vertical="center"/>
    </xf>
    <xf numFmtId="3" fontId="6" fillId="6" borderId="54" xfId="10" applyNumberFormat="1" applyFont="1" applyFill="1" applyBorder="1" applyAlignment="1">
      <alignment horizontal="right" vertical="center"/>
    </xf>
    <xf numFmtId="0" fontId="17" fillId="0" borderId="27" xfId="10" applyFont="1" applyBorder="1" applyAlignment="1">
      <alignment vertical="center"/>
    </xf>
    <xf numFmtId="0" fontId="17" fillId="0" borderId="54" xfId="10" applyFont="1" applyBorder="1" applyAlignment="1">
      <alignment vertical="center"/>
    </xf>
    <xf numFmtId="0" fontId="17" fillId="0" borderId="16" xfId="10" applyFont="1" applyBorder="1" applyAlignment="1">
      <alignment vertical="center"/>
    </xf>
    <xf numFmtId="0" fontId="17" fillId="6" borderId="77" xfId="10" applyFont="1" applyFill="1" applyBorder="1" applyAlignment="1">
      <alignment vertical="center"/>
    </xf>
    <xf numFmtId="3" fontId="6" fillId="0" borderId="2" xfId="3" applyNumberFormat="1" applyFont="1" applyBorder="1" applyAlignment="1">
      <alignment horizontal="right" vertical="center"/>
    </xf>
    <xf numFmtId="3" fontId="8" fillId="8" borderId="94" xfId="3" applyNumberFormat="1" applyFont="1" applyFill="1" applyBorder="1" applyAlignment="1">
      <alignment horizontal="right" vertical="center"/>
    </xf>
    <xf numFmtId="3" fontId="8" fillId="7" borderId="95" xfId="3" applyNumberFormat="1" applyFont="1" applyFill="1" applyBorder="1" applyAlignment="1">
      <alignment horizontal="right" vertical="center"/>
    </xf>
    <xf numFmtId="0" fontId="17" fillId="6" borderId="43" xfId="10" applyFont="1" applyFill="1" applyBorder="1" applyAlignment="1">
      <alignment vertical="center"/>
    </xf>
    <xf numFmtId="0" fontId="17" fillId="0" borderId="93" xfId="10" applyFont="1" applyBorder="1" applyAlignment="1">
      <alignment vertical="center"/>
    </xf>
    <xf numFmtId="3" fontId="6" fillId="0" borderId="17" xfId="10" applyNumberFormat="1" applyFont="1" applyBorder="1" applyAlignment="1">
      <alignment horizontal="right" vertical="center"/>
    </xf>
    <xf numFmtId="166" fontId="21" fillId="0" borderId="44" xfId="10" applyNumberFormat="1" applyFont="1" applyBorder="1" applyAlignment="1">
      <alignment horizontal="right" vertical="center"/>
    </xf>
    <xf numFmtId="166" fontId="21" fillId="0" borderId="18" xfId="10" applyNumberFormat="1" applyFont="1" applyBorder="1" applyAlignment="1">
      <alignment horizontal="right" vertical="center"/>
    </xf>
    <xf numFmtId="3" fontId="29" fillId="8" borderId="90" xfId="10" applyNumberFormat="1" applyFont="1" applyFill="1" applyBorder="1" applyAlignment="1">
      <alignment horizontal="right" vertical="center"/>
    </xf>
    <xf numFmtId="166" fontId="21" fillId="6" borderId="12" xfId="10" applyNumberFormat="1" applyFont="1" applyFill="1" applyBorder="1" applyAlignment="1">
      <alignment horizontal="right" vertical="center"/>
    </xf>
    <xf numFmtId="3" fontId="29" fillId="7" borderId="91" xfId="10" applyNumberFormat="1" applyFont="1" applyFill="1" applyBorder="1" applyAlignment="1">
      <alignment horizontal="right" vertical="center"/>
    </xf>
    <xf numFmtId="3" fontId="6" fillId="0" borderId="14" xfId="10" applyNumberFormat="1" applyFont="1" applyBorder="1" applyAlignment="1">
      <alignment horizontal="right" vertical="center"/>
    </xf>
    <xf numFmtId="166" fontId="21" fillId="0" borderId="16" xfId="10" applyNumberFormat="1" applyFont="1" applyBorder="1" applyAlignment="1">
      <alignment horizontal="right" vertical="center"/>
    </xf>
    <xf numFmtId="166" fontId="21" fillId="0" borderId="21" xfId="10" applyNumberFormat="1" applyFont="1" applyBorder="1" applyAlignment="1">
      <alignment horizontal="right" vertical="center"/>
    </xf>
    <xf numFmtId="3" fontId="8" fillId="8" borderId="90" xfId="10" applyNumberFormat="1" applyFont="1" applyFill="1" applyBorder="1" applyAlignment="1">
      <alignment horizontal="right" vertical="center"/>
    </xf>
    <xf numFmtId="3" fontId="8" fillId="7" borderId="91" xfId="10" applyNumberFormat="1" applyFont="1" applyFill="1" applyBorder="1" applyAlignment="1">
      <alignment horizontal="right" vertical="center"/>
    </xf>
    <xf numFmtId="0" fontId="17" fillId="0" borderId="81" xfId="10" applyFont="1" applyBorder="1" applyAlignment="1">
      <alignment vertical="center"/>
    </xf>
    <xf numFmtId="0" fontId="25" fillId="6" borderId="1" xfId="10" applyFont="1" applyFill="1" applyBorder="1" applyAlignment="1">
      <alignment vertical="center"/>
    </xf>
    <xf numFmtId="0" fontId="25" fillId="6" borderId="3" xfId="10" applyFont="1" applyFill="1" applyBorder="1" applyAlignment="1">
      <alignment vertical="center" wrapText="1"/>
    </xf>
    <xf numFmtId="0" fontId="23" fillId="6" borderId="3" xfId="10" applyFont="1" applyFill="1" applyBorder="1" applyAlignment="1">
      <alignment vertical="center"/>
    </xf>
    <xf numFmtId="0" fontId="23" fillId="6" borderId="77" xfId="10" applyFont="1" applyFill="1" applyBorder="1" applyAlignment="1">
      <alignment vertical="center" wrapText="1"/>
    </xf>
    <xf numFmtId="3" fontId="23" fillId="6" borderId="2" xfId="10" applyNumberFormat="1" applyFont="1" applyFill="1" applyBorder="1" applyAlignment="1">
      <alignment horizontal="right" vertical="center"/>
    </xf>
    <xf numFmtId="166" fontId="26" fillId="6" borderId="41" xfId="10" applyNumberFormat="1" applyFont="1" applyFill="1" applyBorder="1" applyAlignment="1">
      <alignment horizontal="right" vertical="center"/>
    </xf>
    <xf numFmtId="166" fontId="27" fillId="6" borderId="3" xfId="10" applyNumberFormat="1" applyFont="1" applyFill="1" applyBorder="1" applyAlignment="1">
      <alignment horizontal="right" vertical="center"/>
    </xf>
    <xf numFmtId="3" fontId="28" fillId="8" borderId="94" xfId="10" applyNumberFormat="1" applyFont="1" applyFill="1" applyBorder="1" applyAlignment="1">
      <alignment horizontal="right" vertical="center"/>
    </xf>
    <xf numFmtId="166" fontId="27" fillId="6" borderId="4" xfId="10" applyNumberFormat="1" applyFont="1" applyFill="1" applyBorder="1" applyAlignment="1">
      <alignment horizontal="right" vertical="center"/>
    </xf>
    <xf numFmtId="0" fontId="31" fillId="0" borderId="64" xfId="10" applyFont="1" applyBorder="1" applyAlignment="1">
      <alignment vertical="center"/>
    </xf>
    <xf numFmtId="0" fontId="31" fillId="0" borderId="0" xfId="10" applyFont="1" applyAlignment="1">
      <alignment vertical="center"/>
    </xf>
    <xf numFmtId="0" fontId="32" fillId="0" borderId="0" xfId="10" applyFont="1" applyAlignment="1">
      <alignment vertical="center"/>
    </xf>
    <xf numFmtId="3" fontId="31" fillId="0" borderId="0" xfId="10" applyNumberFormat="1" applyFont="1" applyAlignment="1">
      <alignment horizontal="right" vertical="center"/>
    </xf>
    <xf numFmtId="166" fontId="31" fillId="0" borderId="0" xfId="10" applyNumberFormat="1" applyFont="1" applyAlignment="1">
      <alignment horizontal="right" vertical="center"/>
    </xf>
    <xf numFmtId="0" fontId="31" fillId="0" borderId="0" xfId="10" applyFont="1" applyAlignment="1">
      <alignment horizontal="right" vertical="center"/>
    </xf>
    <xf numFmtId="3" fontId="31" fillId="0" borderId="68" xfId="10" applyNumberFormat="1" applyFont="1" applyBorder="1" applyAlignment="1">
      <alignment horizontal="right" vertical="center"/>
    </xf>
    <xf numFmtId="0" fontId="31" fillId="0" borderId="78" xfId="10" applyFont="1" applyBorder="1" applyAlignment="1">
      <alignment horizontal="right" vertical="center"/>
    </xf>
    <xf numFmtId="0" fontId="23" fillId="6" borderId="20" xfId="10" applyFont="1" applyFill="1" applyBorder="1" applyAlignment="1">
      <alignment vertical="center"/>
    </xf>
    <xf numFmtId="0" fontId="23" fillId="6" borderId="14" xfId="10" applyFont="1" applyFill="1" applyBorder="1" applyAlignment="1">
      <alignment vertical="center"/>
    </xf>
    <xf numFmtId="0" fontId="6" fillId="6" borderId="21" xfId="10" applyFont="1" applyFill="1" applyBorder="1" applyAlignment="1">
      <alignment vertical="center"/>
    </xf>
    <xf numFmtId="0" fontId="14" fillId="6" borderId="54" xfId="10" applyFont="1" applyFill="1" applyBorder="1" applyAlignment="1">
      <alignment vertical="center"/>
    </xf>
    <xf numFmtId="166" fontId="26" fillId="6" borderId="16" xfId="10" applyNumberFormat="1" applyFont="1" applyFill="1" applyBorder="1" applyAlignment="1">
      <alignment horizontal="right" vertical="center"/>
    </xf>
    <xf numFmtId="166" fontId="26" fillId="6" borderId="21" xfId="10" applyNumberFormat="1" applyFont="1" applyFill="1" applyBorder="1" applyAlignment="1">
      <alignment horizontal="right" vertical="center"/>
    </xf>
    <xf numFmtId="166" fontId="26" fillId="6" borderId="19" xfId="10" applyNumberFormat="1" applyFont="1" applyFill="1" applyBorder="1" applyAlignment="1">
      <alignment horizontal="right" vertical="center"/>
    </xf>
    <xf numFmtId="3" fontId="6" fillId="7" borderId="89" xfId="10" applyNumberFormat="1" applyFont="1" applyFill="1" applyBorder="1" applyAlignment="1">
      <alignment horizontal="right" vertical="center"/>
    </xf>
    <xf numFmtId="0" fontId="23" fillId="6" borderId="33" xfId="10" applyFont="1" applyFill="1" applyBorder="1" applyAlignment="1">
      <alignment vertical="center"/>
    </xf>
    <xf numFmtId="0" fontId="23" fillId="6" borderId="34" xfId="10" applyFont="1" applyFill="1" applyBorder="1" applyAlignment="1">
      <alignment vertical="center"/>
    </xf>
    <xf numFmtId="0" fontId="6" fillId="6" borderId="35" xfId="10" applyFont="1" applyFill="1" applyBorder="1" applyAlignment="1">
      <alignment vertical="center"/>
    </xf>
    <xf numFmtId="0" fontId="14" fillId="6" borderId="81" xfId="10" applyFont="1" applyFill="1" applyBorder="1" applyAlignment="1">
      <alignment vertical="center"/>
    </xf>
    <xf numFmtId="3" fontId="6" fillId="6" borderId="34" xfId="10" applyNumberFormat="1" applyFont="1" applyFill="1" applyBorder="1" applyAlignment="1">
      <alignment horizontal="right" vertical="center"/>
    </xf>
    <xf numFmtId="166" fontId="26" fillId="6" borderId="36" xfId="10" applyNumberFormat="1" applyFont="1" applyFill="1" applyBorder="1" applyAlignment="1">
      <alignment horizontal="right" vertical="center"/>
    </xf>
    <xf numFmtId="166" fontId="26" fillId="6" borderId="35" xfId="10" applyNumberFormat="1" applyFont="1" applyFill="1" applyBorder="1" applyAlignment="1">
      <alignment horizontal="right" vertical="center"/>
    </xf>
    <xf numFmtId="166" fontId="26" fillId="6" borderId="37" xfId="10" applyNumberFormat="1" applyFont="1" applyFill="1" applyBorder="1" applyAlignment="1">
      <alignment horizontal="right" vertical="center"/>
    </xf>
    <xf numFmtId="3" fontId="6" fillId="7" borderId="83" xfId="10" applyNumberFormat="1" applyFont="1" applyFill="1" applyBorder="1" applyAlignment="1">
      <alignment horizontal="right" vertical="center"/>
    </xf>
    <xf numFmtId="0" fontId="14" fillId="6" borderId="1" xfId="10" applyFont="1" applyFill="1" applyBorder="1" applyAlignment="1">
      <alignment vertical="center"/>
    </xf>
    <xf numFmtId="0" fontId="14" fillId="6" borderId="2" xfId="10" applyFont="1" applyFill="1" applyBorder="1" applyAlignment="1">
      <alignment vertical="center"/>
    </xf>
    <xf numFmtId="3" fontId="14" fillId="6" borderId="2" xfId="10" applyNumberFormat="1" applyFont="1" applyFill="1" applyBorder="1" applyAlignment="1">
      <alignment horizontal="right" vertical="center"/>
    </xf>
    <xf numFmtId="0" fontId="5" fillId="0" borderId="0" xfId="10" applyFont="1" applyAlignment="1">
      <alignment vertical="center"/>
    </xf>
    <xf numFmtId="166" fontId="5" fillId="0" borderId="0" xfId="10" applyNumberFormat="1" applyFont="1" applyAlignment="1">
      <alignment vertical="center"/>
    </xf>
    <xf numFmtId="3" fontId="5" fillId="0" borderId="0" xfId="10" applyNumberFormat="1" applyFont="1" applyAlignment="1">
      <alignment vertical="center"/>
    </xf>
    <xf numFmtId="166" fontId="6" fillId="0" borderId="0" xfId="10" applyNumberFormat="1" applyFont="1" applyAlignment="1">
      <alignment vertical="center"/>
    </xf>
    <xf numFmtId="3" fontId="5" fillId="0" borderId="0" xfId="10" applyNumberFormat="1" applyFont="1" applyAlignment="1">
      <alignment horizontal="right" vertical="center"/>
    </xf>
    <xf numFmtId="0" fontId="6" fillId="0" borderId="0" xfId="10" applyFont="1" applyAlignment="1">
      <alignment vertical="center"/>
    </xf>
    <xf numFmtId="0" fontId="14" fillId="0" borderId="0" xfId="10" applyFont="1" applyAlignment="1">
      <alignment vertical="center"/>
    </xf>
    <xf numFmtId="166" fontId="6" fillId="0" borderId="14" xfId="10" applyNumberFormat="1" applyFont="1" applyBorder="1" applyAlignment="1">
      <alignment vertical="center"/>
    </xf>
    <xf numFmtId="3" fontId="5" fillId="0" borderId="14" xfId="10" applyNumberFormat="1" applyFont="1" applyBorder="1" applyAlignment="1">
      <alignment horizontal="right" vertical="center"/>
    </xf>
    <xf numFmtId="0" fontId="34" fillId="0" borderId="0" xfId="3" applyFont="1" applyAlignment="1">
      <alignment horizontal="right" vertical="center"/>
    </xf>
    <xf numFmtId="0" fontId="35" fillId="0" borderId="0" xfId="5" applyFont="1" applyAlignment="1">
      <alignment horizontal="left" vertical="center"/>
    </xf>
    <xf numFmtId="0" fontId="36" fillId="0" borderId="0" xfId="5" applyFont="1" applyAlignment="1">
      <alignment horizontal="left" vertical="center"/>
    </xf>
    <xf numFmtId="0" fontId="37" fillId="0" borderId="0" xfId="5" applyFont="1" applyAlignment="1">
      <alignment horizontal="center" vertical="center"/>
    </xf>
    <xf numFmtId="0" fontId="8" fillId="0" borderId="0" xfId="5" applyFont="1" applyAlignment="1">
      <alignment vertical="center"/>
    </xf>
    <xf numFmtId="0" fontId="8" fillId="0" borderId="0" xfId="5" applyFont="1" applyAlignment="1">
      <alignment horizontal="left" vertical="center" wrapText="1" indent="1"/>
    </xf>
    <xf numFmtId="3" fontId="8" fillId="0" borderId="0" xfId="5" applyNumberFormat="1" applyFont="1" applyAlignment="1">
      <alignment horizontal="left" vertical="center" wrapText="1" indent="1"/>
    </xf>
    <xf numFmtId="0" fontId="38" fillId="0" borderId="0" xfId="5" applyFont="1" applyAlignment="1">
      <alignment vertical="center"/>
    </xf>
    <xf numFmtId="3" fontId="38" fillId="0" borderId="0" xfId="5" applyNumberFormat="1" applyFont="1" applyAlignment="1">
      <alignment horizontal="right" vertical="center" indent="1"/>
    </xf>
    <xf numFmtId="0" fontId="5" fillId="0" borderId="1" xfId="5" applyFont="1" applyBorder="1" applyAlignment="1">
      <alignment horizontal="center" vertical="center" wrapText="1"/>
    </xf>
    <xf numFmtId="0" fontId="5" fillId="0" borderId="4" xfId="5" applyFont="1" applyBorder="1" applyAlignment="1">
      <alignment horizontal="center" vertical="center" wrapText="1"/>
    </xf>
    <xf numFmtId="0" fontId="5" fillId="0" borderId="41" xfId="5" applyFont="1" applyBorder="1" applyAlignment="1">
      <alignment horizontal="center" vertical="center" wrapText="1"/>
    </xf>
    <xf numFmtId="3" fontId="7" fillId="0" borderId="4" xfId="5" applyNumberFormat="1" applyFont="1" applyBorder="1" applyAlignment="1">
      <alignment horizontal="center" vertical="center" wrapText="1"/>
    </xf>
    <xf numFmtId="0" fontId="8" fillId="0" borderId="96" xfId="5" applyFont="1" applyBorder="1" applyAlignment="1">
      <alignment horizontal="center" vertical="center" wrapText="1"/>
    </xf>
    <xf numFmtId="0" fontId="8" fillId="0" borderId="97" xfId="5" applyFont="1" applyBorder="1" applyAlignment="1">
      <alignment horizontal="left" vertical="center" wrapText="1" indent="1"/>
    </xf>
    <xf numFmtId="3" fontId="8" fillId="0" borderId="99" xfId="5" applyNumberFormat="1" applyFont="1" applyBorder="1" applyAlignment="1">
      <alignment horizontal="right" vertical="center" wrapText="1" indent="1"/>
    </xf>
    <xf numFmtId="3" fontId="8" fillId="0" borderId="97" xfId="5" applyNumberFormat="1" applyFont="1" applyBorder="1" applyAlignment="1">
      <alignment horizontal="right" vertical="center" wrapText="1" indent="1"/>
    </xf>
    <xf numFmtId="0" fontId="8" fillId="0" borderId="100" xfId="5" applyFont="1" applyBorder="1" applyAlignment="1">
      <alignment horizontal="center" vertical="center" wrapText="1"/>
    </xf>
    <xf numFmtId="0" fontId="8" fillId="0" borderId="101" xfId="5" applyFont="1" applyBorder="1" applyAlignment="1">
      <alignment horizontal="left" vertical="center" wrapText="1" indent="1"/>
    </xf>
    <xf numFmtId="3" fontId="8" fillId="0" borderId="103" xfId="5" applyNumberFormat="1" applyFont="1" applyBorder="1" applyAlignment="1">
      <alignment horizontal="right" vertical="center" wrapText="1" indent="1"/>
    </xf>
    <xf numFmtId="0" fontId="5" fillId="0" borderId="1" xfId="5" applyFont="1" applyBorder="1" applyAlignment="1">
      <alignment vertical="center"/>
    </xf>
    <xf numFmtId="0" fontId="5" fillId="0" borderId="4" xfId="5" applyFont="1" applyBorder="1" applyAlignment="1">
      <alignment horizontal="left" vertical="center" indent="1"/>
    </xf>
    <xf numFmtId="3" fontId="7" fillId="0" borderId="104" xfId="5" applyNumberFormat="1" applyFont="1" applyBorder="1" applyAlignment="1">
      <alignment horizontal="right" vertical="center" indent="1"/>
    </xf>
    <xf numFmtId="0" fontId="4" fillId="0" borderId="0" xfId="5" applyFont="1" applyAlignment="1">
      <alignment vertical="center"/>
    </xf>
    <xf numFmtId="0" fontId="4" fillId="0" borderId="0" xfId="0" applyFont="1"/>
    <xf numFmtId="0" fontId="39" fillId="0" borderId="0" xfId="5" applyFont="1" applyAlignment="1">
      <alignment vertical="center"/>
    </xf>
    <xf numFmtId="0" fontId="40" fillId="0" borderId="0" xfId="5" applyFont="1" applyAlignment="1">
      <alignment vertical="center"/>
    </xf>
    <xf numFmtId="0" fontId="41" fillId="0" borderId="0" xfId="5" applyFont="1" applyAlignment="1">
      <alignment vertical="center"/>
    </xf>
    <xf numFmtId="0" fontId="42" fillId="0" borderId="0" xfId="5" applyFont="1" applyAlignment="1">
      <alignment vertical="center"/>
    </xf>
    <xf numFmtId="0" fontId="43" fillId="0" borderId="0" xfId="5" applyFont="1" applyAlignment="1">
      <alignment vertical="center"/>
    </xf>
    <xf numFmtId="3" fontId="38" fillId="0" borderId="14" xfId="5" applyNumberFormat="1" applyFont="1" applyBorder="1" applyAlignment="1">
      <alignment horizontal="right" vertical="center" indent="1"/>
    </xf>
    <xf numFmtId="0" fontId="38" fillId="0" borderId="0" xfId="5" applyFont="1" applyAlignment="1">
      <alignment vertical="center" wrapText="1"/>
    </xf>
    <xf numFmtId="0" fontId="38" fillId="0" borderId="0" xfId="5" applyFont="1" applyAlignment="1">
      <alignment horizontal="center" vertical="center" wrapText="1"/>
    </xf>
    <xf numFmtId="0" fontId="38" fillId="0" borderId="0" xfId="5" applyFont="1" applyAlignment="1">
      <alignment horizontal="right" vertical="center" indent="1"/>
    </xf>
    <xf numFmtId="0" fontId="38" fillId="0" borderId="13" xfId="5" applyFont="1" applyBorder="1" applyAlignment="1">
      <alignment horizontal="center" vertical="center" wrapText="1"/>
    </xf>
    <xf numFmtId="0" fontId="38" fillId="0" borderId="10" xfId="5" applyFont="1" applyBorder="1" applyAlignment="1">
      <alignment horizontal="left" vertical="center" wrapText="1" indent="1"/>
    </xf>
    <xf numFmtId="3" fontId="38" fillId="0" borderId="10" xfId="5" applyNumberFormat="1" applyFont="1" applyBorder="1" applyAlignment="1">
      <alignment horizontal="right" vertical="center" wrapText="1" indent="1"/>
    </xf>
    <xf numFmtId="3" fontId="38" fillId="0" borderId="15" xfId="5" applyNumberFormat="1" applyFont="1" applyBorder="1" applyAlignment="1">
      <alignment horizontal="right" vertical="center" indent="1"/>
    </xf>
    <xf numFmtId="0" fontId="38" fillId="0" borderId="20" xfId="5" applyFont="1" applyBorder="1" applyAlignment="1">
      <alignment horizontal="center" vertical="center" wrapText="1"/>
    </xf>
    <xf numFmtId="0" fontId="38" fillId="0" borderId="14" xfId="5" applyFont="1" applyBorder="1" applyAlignment="1">
      <alignment horizontal="left" vertical="center" wrapText="1" indent="1"/>
    </xf>
    <xf numFmtId="3" fontId="38" fillId="0" borderId="14" xfId="5" applyNumberFormat="1" applyFont="1" applyBorder="1" applyAlignment="1">
      <alignment horizontal="right" vertical="center" wrapText="1" indent="1"/>
    </xf>
    <xf numFmtId="3" fontId="38" fillId="0" borderId="19" xfId="5" applyNumberFormat="1" applyFont="1" applyBorder="1" applyAlignment="1">
      <alignment horizontal="right" vertical="center" indent="1"/>
    </xf>
    <xf numFmtId="0" fontId="38" fillId="0" borderId="22" xfId="5" applyFont="1" applyBorder="1" applyAlignment="1">
      <alignment horizontal="center" vertical="center" wrapText="1"/>
    </xf>
    <xf numFmtId="0" fontId="38" fillId="0" borderId="23" xfId="5" applyFont="1" applyBorder="1" applyAlignment="1">
      <alignment horizontal="left" vertical="center" wrapText="1" indent="1"/>
    </xf>
    <xf numFmtId="3" fontId="38" fillId="0" borderId="23" xfId="5" applyNumberFormat="1" applyFont="1" applyBorder="1" applyAlignment="1">
      <alignment horizontal="right" vertical="center" wrapText="1" indent="1"/>
    </xf>
    <xf numFmtId="3" fontId="38" fillId="0" borderId="26" xfId="5" applyNumberFormat="1" applyFont="1" applyBorder="1" applyAlignment="1">
      <alignment horizontal="right" vertical="center" indent="1"/>
    </xf>
    <xf numFmtId="3" fontId="44" fillId="0" borderId="30" xfId="5" applyNumberFormat="1" applyFont="1" applyBorder="1" applyAlignment="1">
      <alignment horizontal="right" vertical="center" indent="1"/>
    </xf>
    <xf numFmtId="3" fontId="44" fillId="0" borderId="31" xfId="5" applyNumberFormat="1" applyFont="1" applyBorder="1" applyAlignment="1">
      <alignment horizontal="right" vertical="center" indent="1"/>
    </xf>
    <xf numFmtId="3" fontId="7" fillId="2" borderId="47" xfId="8" applyNumberFormat="1" applyFont="1" applyFill="1" applyBorder="1" applyAlignment="1">
      <alignment horizontal="right" vertical="center" indent="1"/>
    </xf>
    <xf numFmtId="3" fontId="7" fillId="3" borderId="40" xfId="8" applyNumberFormat="1" applyFont="1" applyFill="1" applyBorder="1" applyAlignment="1">
      <alignment horizontal="right" vertical="center" indent="1"/>
    </xf>
    <xf numFmtId="3" fontId="7" fillId="2" borderId="40" xfId="8" applyNumberFormat="1" applyFont="1" applyFill="1" applyBorder="1" applyAlignment="1">
      <alignment horizontal="right" vertical="center" indent="1"/>
    </xf>
    <xf numFmtId="3" fontId="7" fillId="4" borderId="40" xfId="8" applyNumberFormat="1" applyFont="1" applyFill="1" applyBorder="1" applyAlignment="1">
      <alignment horizontal="right" vertical="center" indent="1"/>
    </xf>
    <xf numFmtId="3" fontId="7" fillId="5" borderId="40" xfId="8" applyNumberFormat="1" applyFont="1" applyFill="1" applyBorder="1" applyAlignment="1">
      <alignment horizontal="right" vertical="center" indent="1"/>
    </xf>
    <xf numFmtId="3" fontId="7" fillId="5" borderId="48" xfId="8" applyNumberFormat="1" applyFont="1" applyFill="1" applyBorder="1" applyAlignment="1">
      <alignment horizontal="right" vertical="center" indent="1"/>
    </xf>
    <xf numFmtId="3" fontId="8" fillId="0" borderId="13" xfId="8" applyNumberFormat="1" applyFont="1" applyBorder="1" applyAlignment="1">
      <alignment horizontal="right" vertical="center" indent="1"/>
    </xf>
    <xf numFmtId="3" fontId="8" fillId="0" borderId="10" xfId="8" applyNumberFormat="1" applyFont="1" applyBorder="1" applyAlignment="1">
      <alignment horizontal="right" vertical="center" indent="1"/>
    </xf>
    <xf numFmtId="3" fontId="8" fillId="0" borderId="15" xfId="8" applyNumberFormat="1" applyFont="1" applyBorder="1" applyAlignment="1">
      <alignment horizontal="right" vertical="center" indent="1"/>
    </xf>
    <xf numFmtId="3" fontId="8" fillId="0" borderId="20" xfId="8" applyNumberFormat="1" applyFont="1" applyBorder="1" applyAlignment="1">
      <alignment horizontal="right" vertical="center" indent="1"/>
    </xf>
    <xf numFmtId="3" fontId="7" fillId="0" borderId="45" xfId="8" applyNumberFormat="1" applyFont="1" applyBorder="1" applyAlignment="1">
      <alignment horizontal="right" vertical="center" indent="1"/>
    </xf>
    <xf numFmtId="3" fontId="8" fillId="0" borderId="33" xfId="8" applyNumberFormat="1" applyFont="1" applyBorder="1" applyAlignment="1">
      <alignment horizontal="right" vertical="center" indent="1"/>
    </xf>
    <xf numFmtId="3" fontId="7" fillId="0" borderId="1" xfId="8" applyNumberFormat="1" applyFont="1" applyBorder="1" applyAlignment="1">
      <alignment horizontal="right" vertical="center" indent="1"/>
    </xf>
    <xf numFmtId="0" fontId="3" fillId="0" borderId="0" xfId="3" applyFont="1" applyAlignment="1">
      <alignment vertical="center"/>
    </xf>
    <xf numFmtId="9" fontId="12" fillId="10" borderId="42" xfId="0" applyNumberFormat="1" applyFont="1" applyFill="1" applyBorder="1"/>
    <xf numFmtId="9" fontId="12" fillId="10" borderId="77" xfId="0" applyNumberFormat="1" applyFont="1" applyFill="1" applyBorder="1"/>
    <xf numFmtId="0" fontId="0" fillId="10" borderId="22" xfId="0" applyFill="1" applyBorder="1" applyAlignment="1">
      <alignment horizontal="center"/>
    </xf>
    <xf numFmtId="0" fontId="0" fillId="10" borderId="84" xfId="0" applyFill="1" applyBorder="1" applyAlignment="1">
      <alignment horizontal="center"/>
    </xf>
    <xf numFmtId="0" fontId="0" fillId="10" borderId="24" xfId="0" applyFill="1" applyBorder="1" applyAlignment="1">
      <alignment horizontal="center"/>
    </xf>
    <xf numFmtId="0" fontId="0" fillId="10" borderId="26" xfId="0" applyFill="1" applyBorder="1" applyAlignment="1">
      <alignment horizontal="center"/>
    </xf>
    <xf numFmtId="0" fontId="0" fillId="10" borderId="22" xfId="0" applyFill="1" applyBorder="1" applyAlignment="1">
      <alignment horizontal="center" vertical="center" wrapText="1"/>
    </xf>
    <xf numFmtId="0" fontId="0" fillId="10" borderId="26" xfId="0" applyFill="1" applyBorder="1" applyAlignment="1">
      <alignment horizontal="center" vertical="center" wrapText="1"/>
    </xf>
    <xf numFmtId="0" fontId="0" fillId="11" borderId="64" xfId="0" applyFill="1" applyBorder="1" applyAlignment="1">
      <alignment horizontal="center" vertical="center"/>
    </xf>
    <xf numFmtId="0" fontId="8" fillId="11" borderId="49" xfId="5" applyFont="1" applyFill="1" applyBorder="1" applyAlignment="1">
      <alignment horizontal="left" vertical="center" wrapText="1" indent="1"/>
    </xf>
    <xf numFmtId="0" fontId="8" fillId="11" borderId="50" xfId="5" applyFont="1" applyFill="1" applyBorder="1" applyAlignment="1">
      <alignment horizontal="left" vertical="center" wrapText="1" indent="1"/>
    </xf>
    <xf numFmtId="0" fontId="0" fillId="11" borderId="71" xfId="0" applyFill="1" applyBorder="1" applyAlignment="1">
      <alignment horizontal="center" vertical="center"/>
    </xf>
    <xf numFmtId="0" fontId="8" fillId="11" borderId="51" xfId="5" applyFont="1" applyFill="1" applyBorder="1" applyAlignment="1">
      <alignment horizontal="left" vertical="center" wrapText="1" indent="1"/>
    </xf>
    <xf numFmtId="0" fontId="0" fillId="11" borderId="56" xfId="0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/>
    </xf>
    <xf numFmtId="0" fontId="12" fillId="11" borderId="46" xfId="0" applyFont="1" applyFill="1" applyBorder="1" applyAlignment="1">
      <alignment horizontal="center"/>
    </xf>
    <xf numFmtId="0" fontId="0" fillId="10" borderId="107" xfId="0" applyFill="1" applyBorder="1" applyAlignment="1">
      <alignment horizontal="center"/>
    </xf>
    <xf numFmtId="0" fontId="0" fillId="10" borderId="24" xfId="0" applyFill="1" applyBorder="1" applyAlignment="1">
      <alignment horizontal="center" vertical="center" wrapText="1"/>
    </xf>
    <xf numFmtId="0" fontId="0" fillId="12" borderId="64" xfId="0" applyFill="1" applyBorder="1" applyAlignment="1">
      <alignment horizontal="center" vertical="center"/>
    </xf>
    <xf numFmtId="0" fontId="8" fillId="12" borderId="49" xfId="5" applyFont="1" applyFill="1" applyBorder="1" applyAlignment="1">
      <alignment horizontal="left" vertical="center" wrapText="1" indent="1"/>
    </xf>
    <xf numFmtId="0" fontId="0" fillId="12" borderId="71" xfId="0" applyFill="1" applyBorder="1" applyAlignment="1">
      <alignment horizontal="center" vertical="center"/>
    </xf>
    <xf numFmtId="0" fontId="8" fillId="12" borderId="51" xfId="5" applyFont="1" applyFill="1" applyBorder="1" applyAlignment="1">
      <alignment horizontal="left" vertical="center" wrapText="1" indent="1"/>
    </xf>
    <xf numFmtId="0" fontId="0" fillId="12" borderId="56" xfId="0" applyFill="1" applyBorder="1" applyAlignment="1">
      <alignment horizontal="center" vertical="center"/>
    </xf>
    <xf numFmtId="0" fontId="12" fillId="12" borderId="42" xfId="0" applyFont="1" applyFill="1" applyBorder="1" applyAlignment="1">
      <alignment horizontal="center"/>
    </xf>
    <xf numFmtId="0" fontId="12" fillId="12" borderId="46" xfId="0" applyFont="1" applyFill="1" applyBorder="1" applyAlignment="1">
      <alignment horizontal="center"/>
    </xf>
    <xf numFmtId="0" fontId="0" fillId="13" borderId="64" xfId="0" applyFill="1" applyBorder="1" applyAlignment="1">
      <alignment horizontal="center" vertical="center"/>
    </xf>
    <xf numFmtId="0" fontId="8" fillId="13" borderId="49" xfId="5" applyFont="1" applyFill="1" applyBorder="1" applyAlignment="1">
      <alignment horizontal="left" vertical="center" wrapText="1" indent="1"/>
    </xf>
    <xf numFmtId="0" fontId="8" fillId="13" borderId="50" xfId="5" applyFont="1" applyFill="1" applyBorder="1" applyAlignment="1">
      <alignment horizontal="left" vertical="center" wrapText="1" indent="1"/>
    </xf>
    <xf numFmtId="0" fontId="0" fillId="13" borderId="71" xfId="0" applyFill="1" applyBorder="1" applyAlignment="1">
      <alignment horizontal="center" vertical="center"/>
    </xf>
    <xf numFmtId="0" fontId="8" fillId="13" borderId="51" xfId="5" applyFont="1" applyFill="1" applyBorder="1" applyAlignment="1">
      <alignment horizontal="left" vertical="center" wrapText="1" indent="1"/>
    </xf>
    <xf numFmtId="0" fontId="0" fillId="13" borderId="49" xfId="0" applyFill="1" applyBorder="1" applyAlignment="1">
      <alignment horizontal="center" vertical="center"/>
    </xf>
    <xf numFmtId="0" fontId="0" fillId="13" borderId="50" xfId="0" applyFill="1" applyBorder="1" applyAlignment="1">
      <alignment horizontal="center" vertical="center"/>
    </xf>
    <xf numFmtId="0" fontId="0" fillId="13" borderId="51" xfId="0" applyFill="1" applyBorder="1" applyAlignment="1">
      <alignment horizontal="center" vertical="center"/>
    </xf>
    <xf numFmtId="0" fontId="12" fillId="13" borderId="46" xfId="0" applyFont="1" applyFill="1" applyBorder="1" applyAlignment="1">
      <alignment horizontal="center"/>
    </xf>
    <xf numFmtId="0" fontId="0" fillId="14" borderId="64" xfId="0" applyFill="1" applyBorder="1" applyAlignment="1">
      <alignment horizontal="center" vertical="center"/>
    </xf>
    <xf numFmtId="0" fontId="8" fillId="14" borderId="49" xfId="5" applyFont="1" applyFill="1" applyBorder="1" applyAlignment="1">
      <alignment horizontal="left" vertical="center" wrapText="1" indent="1"/>
    </xf>
    <xf numFmtId="0" fontId="8" fillId="14" borderId="50" xfId="5" applyFont="1" applyFill="1" applyBorder="1" applyAlignment="1">
      <alignment horizontal="left" vertical="center" wrapText="1" indent="1"/>
    </xf>
    <xf numFmtId="0" fontId="0" fillId="14" borderId="71" xfId="0" applyFill="1" applyBorder="1" applyAlignment="1">
      <alignment horizontal="center" vertical="center"/>
    </xf>
    <xf numFmtId="0" fontId="8" fillId="14" borderId="51" xfId="5" applyFont="1" applyFill="1" applyBorder="1" applyAlignment="1">
      <alignment horizontal="left" vertical="center" wrapText="1" indent="1"/>
    </xf>
    <xf numFmtId="0" fontId="0" fillId="14" borderId="56" xfId="0" applyFill="1" applyBorder="1" applyAlignment="1">
      <alignment horizontal="center" vertical="center"/>
    </xf>
    <xf numFmtId="0" fontId="12" fillId="14" borderId="42" xfId="0" applyFont="1" applyFill="1" applyBorder="1" applyAlignment="1">
      <alignment horizontal="center"/>
    </xf>
    <xf numFmtId="0" fontId="12" fillId="14" borderId="46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3" fontId="8" fillId="0" borderId="0" xfId="8" applyNumberFormat="1" applyFont="1"/>
    <xf numFmtId="0" fontId="3" fillId="0" borderId="0" xfId="5" applyFont="1" applyAlignment="1">
      <alignment vertical="center"/>
    </xf>
    <xf numFmtId="0" fontId="6" fillId="0" borderId="0" xfId="12" applyFont="1" applyAlignment="1">
      <alignment vertical="center"/>
    </xf>
    <xf numFmtId="0" fontId="36" fillId="0" borderId="0" xfId="12" applyFont="1" applyAlignment="1">
      <alignment vertical="center"/>
    </xf>
    <xf numFmtId="0" fontId="44" fillId="0" borderId="57" xfId="12" applyFont="1" applyBorder="1" applyAlignment="1">
      <alignment horizontal="centerContinuous" vertical="center"/>
    </xf>
    <xf numFmtId="0" fontId="44" fillId="0" borderId="58" xfId="12" applyFont="1" applyBorder="1" applyAlignment="1">
      <alignment horizontal="centerContinuous" vertical="center"/>
    </xf>
    <xf numFmtId="0" fontId="44" fillId="0" borderId="85" xfId="12" applyFont="1" applyBorder="1" applyAlignment="1">
      <alignment horizontal="center" vertical="center" wrapText="1"/>
    </xf>
    <xf numFmtId="0" fontId="44" fillId="0" borderId="23" xfId="12" applyFont="1" applyBorder="1" applyAlignment="1">
      <alignment horizontal="center" vertical="center" wrapText="1"/>
    </xf>
    <xf numFmtId="0" fontId="8" fillId="0" borderId="110" xfId="5" applyFont="1" applyBorder="1" applyAlignment="1">
      <alignment horizontal="center" vertical="center" wrapText="1"/>
    </xf>
    <xf numFmtId="0" fontId="6" fillId="0" borderId="12" xfId="12" applyFont="1" applyBorder="1" applyAlignment="1">
      <alignment horizontal="left" vertical="center" indent="1"/>
    </xf>
    <xf numFmtId="3" fontId="6" fillId="0" borderId="44" xfId="12" applyNumberFormat="1" applyFont="1" applyBorder="1" applyAlignment="1">
      <alignment horizontal="right" vertical="center" indent="1"/>
    </xf>
    <xf numFmtId="3" fontId="6" fillId="0" borderId="17" xfId="12" applyNumberFormat="1" applyFont="1" applyBorder="1" applyAlignment="1">
      <alignment horizontal="right" vertical="center" indent="1"/>
    </xf>
    <xf numFmtId="3" fontId="6" fillId="0" borderId="12" xfId="12" applyNumberFormat="1" applyFont="1" applyBorder="1" applyAlignment="1">
      <alignment horizontal="right" vertical="center" indent="1"/>
    </xf>
    <xf numFmtId="0" fontId="8" fillId="0" borderId="111" xfId="5" applyFont="1" applyBorder="1" applyAlignment="1">
      <alignment horizontal="center" vertical="center" wrapText="1"/>
    </xf>
    <xf numFmtId="0" fontId="6" fillId="0" borderId="19" xfId="12" applyFont="1" applyBorder="1" applyAlignment="1">
      <alignment horizontal="left" vertical="center" indent="1"/>
    </xf>
    <xf numFmtId="0" fontId="8" fillId="0" borderId="112" xfId="5" applyFont="1" applyBorder="1" applyAlignment="1">
      <alignment horizontal="center" vertical="center" wrapText="1"/>
    </xf>
    <xf numFmtId="0" fontId="6" fillId="0" borderId="37" xfId="12" applyFont="1" applyBorder="1" applyAlignment="1">
      <alignment horizontal="left" vertical="center" indent="1"/>
    </xf>
    <xf numFmtId="3" fontId="6" fillId="0" borderId="65" xfId="12" applyNumberFormat="1" applyFont="1" applyBorder="1" applyAlignment="1">
      <alignment horizontal="right" vertical="center" indent="1"/>
    </xf>
    <xf numFmtId="3" fontId="6" fillId="0" borderId="66" xfId="12" applyNumberFormat="1" applyFont="1" applyBorder="1" applyAlignment="1">
      <alignment horizontal="right" vertical="center" indent="1"/>
    </xf>
    <xf numFmtId="0" fontId="6" fillId="0" borderId="71" xfId="12" applyFont="1" applyBorder="1" applyAlignment="1">
      <alignment vertical="center"/>
    </xf>
    <xf numFmtId="0" fontId="5" fillId="0" borderId="4" xfId="12" applyFont="1" applyBorder="1" applyAlignment="1">
      <alignment horizontal="left" vertical="center" indent="1"/>
    </xf>
    <xf numFmtId="3" fontId="5" fillId="0" borderId="41" xfId="12" applyNumberFormat="1" applyFont="1" applyBorder="1" applyAlignment="1">
      <alignment horizontal="right" vertical="center" indent="1"/>
    </xf>
    <xf numFmtId="3" fontId="5" fillId="0" borderId="2" xfId="12" applyNumberFormat="1" applyFont="1" applyBorder="1" applyAlignment="1">
      <alignment horizontal="right" vertical="center" indent="1"/>
    </xf>
    <xf numFmtId="3" fontId="5" fillId="0" borderId="4" xfId="12" applyNumberFormat="1" applyFont="1" applyBorder="1" applyAlignment="1">
      <alignment horizontal="right" vertical="center" indent="1"/>
    </xf>
    <xf numFmtId="0" fontId="6" fillId="0" borderId="0" xfId="0" applyFont="1" applyAlignment="1">
      <alignment vertical="center"/>
    </xf>
    <xf numFmtId="0" fontId="6" fillId="0" borderId="14" xfId="12" applyFont="1" applyBorder="1" applyAlignment="1">
      <alignment vertical="center"/>
    </xf>
    <xf numFmtId="0" fontId="6" fillId="0" borderId="21" xfId="12" applyFont="1" applyBorder="1" applyAlignment="1">
      <alignment vertical="center"/>
    </xf>
    <xf numFmtId="0" fontId="6" fillId="0" borderId="54" xfId="12" applyFont="1" applyBorder="1" applyAlignment="1">
      <alignment vertical="center"/>
    </xf>
    <xf numFmtId="0" fontId="6" fillId="0" borderId="16" xfId="12" applyFont="1" applyBorder="1" applyAlignment="1">
      <alignment vertical="center"/>
    </xf>
    <xf numFmtId="4" fontId="6" fillId="0" borderId="16" xfId="12" applyNumberFormat="1" applyFont="1" applyBorder="1" applyAlignment="1">
      <alignment horizontal="right" vertical="center" indent="1"/>
    </xf>
    <xf numFmtId="0" fontId="6" fillId="0" borderId="17" xfId="12" applyFont="1" applyBorder="1" applyAlignment="1">
      <alignment vertical="center"/>
    </xf>
    <xf numFmtId="0" fontId="6" fillId="0" borderId="18" xfId="12" applyFont="1" applyBorder="1" applyAlignment="1">
      <alignment vertical="center"/>
    </xf>
    <xf numFmtId="0" fontId="6" fillId="0" borderId="93" xfId="12" applyFont="1" applyBorder="1" applyAlignment="1">
      <alignment vertical="center"/>
    </xf>
    <xf numFmtId="0" fontId="6" fillId="0" borderId="44" xfId="12" applyFont="1" applyBorder="1" applyAlignment="1">
      <alignment vertical="center"/>
    </xf>
    <xf numFmtId="3" fontId="6" fillId="0" borderId="16" xfId="12" applyNumberFormat="1" applyFont="1" applyBorder="1" applyAlignment="1">
      <alignment horizontal="right" vertical="center" indent="1"/>
    </xf>
    <xf numFmtId="0" fontId="7" fillId="0" borderId="0" xfId="8" applyFont="1" applyAlignment="1">
      <alignment horizontal="right"/>
    </xf>
    <xf numFmtId="0" fontId="8" fillId="0" borderId="13" xfId="8" applyFont="1" applyBorder="1" applyAlignment="1">
      <alignment horizontal="center" vertical="center"/>
    </xf>
    <xf numFmtId="0" fontId="8" fillId="0" borderId="0" xfId="8" applyFont="1" applyAlignment="1">
      <alignment horizontal="left" vertical="center"/>
    </xf>
    <xf numFmtId="0" fontId="7" fillId="0" borderId="0" xfId="8" applyFont="1" applyAlignment="1">
      <alignment horizontal="center" vertical="center"/>
    </xf>
    <xf numFmtId="0" fontId="33" fillId="0" borderId="0" xfId="5" applyFont="1" applyAlignment="1">
      <alignment horizontal="left" vertical="center" wrapText="1"/>
    </xf>
    <xf numFmtId="0" fontId="8" fillId="0" borderId="0" xfId="5" applyFont="1"/>
    <xf numFmtId="0" fontId="8" fillId="0" borderId="21" xfId="5" applyFont="1" applyBorder="1"/>
    <xf numFmtId="0" fontId="8" fillId="0" borderId="54" xfId="5" applyFont="1" applyBorder="1"/>
    <xf numFmtId="0" fontId="8" fillId="0" borderId="16" xfId="5" applyFont="1" applyBorder="1"/>
    <xf numFmtId="3" fontId="8" fillId="0" borderId="14" xfId="5" applyNumberFormat="1" applyFont="1" applyBorder="1" applyAlignment="1">
      <alignment horizontal="right" indent="1"/>
    </xf>
    <xf numFmtId="170" fontId="8" fillId="0" borderId="14" xfId="5" applyNumberFormat="1" applyFont="1" applyBorder="1" applyAlignment="1">
      <alignment horizontal="right" indent="1"/>
    </xf>
    <xf numFmtId="0" fontId="38" fillId="0" borderId="0" xfId="5" applyFont="1" applyAlignment="1">
      <alignment horizontal="left"/>
    </xf>
    <xf numFmtId="170" fontId="38" fillId="0" borderId="0" xfId="5" applyNumberFormat="1" applyFont="1" applyAlignment="1">
      <alignment horizontal="right"/>
    </xf>
    <xf numFmtId="0" fontId="38" fillId="0" borderId="0" xfId="5" applyFont="1"/>
    <xf numFmtId="0" fontId="38" fillId="0" borderId="0" xfId="5" applyFont="1" applyAlignment="1">
      <alignment horizontal="right" indent="1"/>
    </xf>
    <xf numFmtId="0" fontId="7" fillId="0" borderId="85" xfId="5" applyFont="1" applyBorder="1" applyAlignment="1">
      <alignment horizontal="center" vertical="center" wrapText="1"/>
    </xf>
    <xf numFmtId="0" fontId="7" fillId="0" borderId="24" xfId="5" applyFont="1" applyBorder="1" applyAlignment="1">
      <alignment horizontal="center" vertical="center" wrapText="1"/>
    </xf>
    <xf numFmtId="49" fontId="48" fillId="0" borderId="43" xfId="5" applyNumberFormat="1" applyFont="1" applyBorder="1" applyAlignment="1">
      <alignment horizontal="center" vertical="center"/>
    </xf>
    <xf numFmtId="0" fontId="48" fillId="0" borderId="12" xfId="5" applyFont="1" applyBorder="1" applyAlignment="1">
      <alignment horizontal="left" vertical="center" indent="1"/>
    </xf>
    <xf numFmtId="3" fontId="6" fillId="0" borderId="44" xfId="6" applyNumberFormat="1" applyFont="1" applyBorder="1" applyAlignment="1">
      <alignment horizontal="right" vertical="center" indent="1"/>
    </xf>
    <xf numFmtId="3" fontId="6" fillId="0" borderId="18" xfId="6" applyNumberFormat="1" applyFont="1" applyBorder="1" applyAlignment="1">
      <alignment horizontal="right" vertical="center" indent="1"/>
    </xf>
    <xf numFmtId="3" fontId="7" fillId="0" borderId="113" xfId="5" applyNumberFormat="1" applyFont="1" applyBorder="1" applyAlignment="1">
      <alignment horizontal="right" vertical="center" indent="1"/>
    </xf>
    <xf numFmtId="49" fontId="48" fillId="0" borderId="20" xfId="5" applyNumberFormat="1" applyFont="1" applyBorder="1" applyAlignment="1">
      <alignment horizontal="center" vertical="center"/>
    </xf>
    <xf numFmtId="0" fontId="48" fillId="0" borderId="19" xfId="5" applyFont="1" applyBorder="1" applyAlignment="1">
      <alignment horizontal="left" vertical="center" indent="1"/>
    </xf>
    <xf numFmtId="3" fontId="6" fillId="0" borderId="16" xfId="6" applyNumberFormat="1" applyFont="1" applyBorder="1" applyAlignment="1">
      <alignment horizontal="right" vertical="center" indent="1"/>
    </xf>
    <xf numFmtId="3" fontId="6" fillId="0" borderId="21" xfId="6" applyNumberFormat="1" applyFont="1" applyBorder="1" applyAlignment="1">
      <alignment horizontal="right" vertical="center" indent="1"/>
    </xf>
    <xf numFmtId="3" fontId="6" fillId="0" borderId="16" xfId="5" applyNumberFormat="1" applyFont="1" applyBorder="1" applyAlignment="1">
      <alignment horizontal="right" vertical="center" indent="1"/>
    </xf>
    <xf numFmtId="3" fontId="6" fillId="0" borderId="21" xfId="5" applyNumberFormat="1" applyFont="1" applyBorder="1" applyAlignment="1">
      <alignment horizontal="right" vertical="center" indent="1"/>
    </xf>
    <xf numFmtId="3" fontId="7" fillId="0" borderId="113" xfId="5" quotePrefix="1" applyNumberFormat="1" applyFont="1" applyBorder="1" applyAlignment="1">
      <alignment horizontal="right" vertical="center" indent="1"/>
    </xf>
    <xf numFmtId="49" fontId="48" fillId="0" borderId="33" xfId="5" applyNumberFormat="1" applyFont="1" applyBorder="1" applyAlignment="1">
      <alignment horizontal="center" vertical="center"/>
    </xf>
    <xf numFmtId="0" fontId="48" fillId="0" borderId="37" xfId="5" applyFont="1" applyBorder="1" applyAlignment="1">
      <alignment horizontal="left" vertical="center" indent="1"/>
    </xf>
    <xf numFmtId="3" fontId="8" fillId="0" borderId="36" xfId="5" applyNumberFormat="1" applyFont="1" applyBorder="1" applyAlignment="1">
      <alignment horizontal="right" vertical="center" indent="1"/>
    </xf>
    <xf numFmtId="3" fontId="8" fillId="0" borderId="35" xfId="5" applyNumberFormat="1" applyFont="1" applyBorder="1" applyAlignment="1">
      <alignment horizontal="right" vertical="center" indent="1"/>
    </xf>
    <xf numFmtId="3" fontId="7" fillId="0" borderId="41" xfId="5" applyNumberFormat="1" applyFont="1" applyBorder="1" applyAlignment="1">
      <alignment horizontal="right" vertical="center" indent="1"/>
    </xf>
    <xf numFmtId="3" fontId="7" fillId="0" borderId="3" xfId="5" applyNumberFormat="1" applyFont="1" applyBorder="1" applyAlignment="1">
      <alignment horizontal="right" vertical="center" indent="1"/>
    </xf>
    <xf numFmtId="3" fontId="7" fillId="0" borderId="46" xfId="5" applyNumberFormat="1" applyFont="1" applyBorder="1" applyAlignment="1">
      <alignment horizontal="right" vertical="center" indent="1"/>
    </xf>
    <xf numFmtId="0" fontId="8" fillId="0" borderId="0" xfId="8" applyFont="1" applyAlignment="1">
      <alignment vertical="center"/>
    </xf>
    <xf numFmtId="0" fontId="38" fillId="0" borderId="21" xfId="8" applyFont="1" applyBorder="1" applyAlignment="1">
      <alignment vertical="center"/>
    </xf>
    <xf numFmtId="0" fontId="38" fillId="0" borderId="54" xfId="8" applyFont="1" applyBorder="1" applyAlignment="1">
      <alignment vertical="center"/>
    </xf>
    <xf numFmtId="0" fontId="38" fillId="0" borderId="16" xfId="8" applyFont="1" applyBorder="1" applyAlignment="1">
      <alignment vertical="center"/>
    </xf>
    <xf numFmtId="3" fontId="38" fillId="0" borderId="14" xfId="8" applyNumberFormat="1" applyFont="1" applyBorder="1" applyAlignment="1">
      <alignment horizontal="right" vertical="center" indent="1"/>
    </xf>
    <xf numFmtId="10" fontId="38" fillId="0" borderId="14" xfId="1" applyNumberFormat="1" applyFont="1" applyBorder="1" applyAlignment="1">
      <alignment horizontal="right" vertical="center" indent="1"/>
    </xf>
    <xf numFmtId="0" fontId="38" fillId="0" borderId="0" xfId="8" applyFont="1" applyAlignment="1">
      <alignment vertical="center"/>
    </xf>
    <xf numFmtId="0" fontId="49" fillId="0" borderId="0" xfId="8" applyFont="1" applyAlignment="1">
      <alignment vertical="center"/>
    </xf>
    <xf numFmtId="169" fontId="38" fillId="0" borderId="0" xfId="8" applyNumberFormat="1" applyFont="1" applyAlignment="1">
      <alignment horizontal="right" vertical="center"/>
    </xf>
    <xf numFmtId="0" fontId="50" fillId="0" borderId="0" xfId="8" applyFont="1" applyAlignment="1">
      <alignment horizontal="center" vertical="center"/>
    </xf>
    <xf numFmtId="0" fontId="38" fillId="0" borderId="0" xfId="8" applyFont="1" applyAlignment="1">
      <alignment horizontal="right" vertical="center"/>
    </xf>
    <xf numFmtId="0" fontId="48" fillId="0" borderId="37" xfId="8" applyFont="1" applyBorder="1" applyAlignment="1">
      <alignment horizontal="left" vertical="center" indent="1"/>
    </xf>
    <xf numFmtId="0" fontId="52" fillId="0" borderId="0" xfId="8" applyFont="1" applyAlignment="1">
      <alignment vertical="center"/>
    </xf>
    <xf numFmtId="166" fontId="53" fillId="0" borderId="0" xfId="8" applyNumberFormat="1" applyFont="1" applyAlignment="1">
      <alignment vertical="center"/>
    </xf>
    <xf numFmtId="3" fontId="0" fillId="0" borderId="19" xfId="0" applyNumberFormat="1" applyBorder="1" applyAlignment="1">
      <alignment horizontal="right" indent="1"/>
    </xf>
    <xf numFmtId="10" fontId="0" fillId="0" borderId="15" xfId="1" applyNumberFormat="1" applyFont="1" applyBorder="1" applyAlignment="1">
      <alignment horizontal="right" indent="1"/>
    </xf>
    <xf numFmtId="3" fontId="0" fillId="0" borderId="20" xfId="0" applyNumberFormat="1" applyBorder="1" applyAlignment="1">
      <alignment horizontal="right" indent="1"/>
    </xf>
    <xf numFmtId="10" fontId="0" fillId="0" borderId="19" xfId="1" applyNumberFormat="1" applyFont="1" applyBorder="1" applyAlignment="1">
      <alignment horizontal="right" indent="1"/>
    </xf>
    <xf numFmtId="0" fontId="17" fillId="6" borderId="42" xfId="10" applyFont="1" applyFill="1" applyBorder="1" applyAlignment="1">
      <alignment vertical="center"/>
    </xf>
    <xf numFmtId="3" fontId="25" fillId="6" borderId="1" xfId="10" applyNumberFormat="1" applyFont="1" applyFill="1" applyBorder="1" applyAlignment="1">
      <alignment vertical="center"/>
    </xf>
    <xf numFmtId="3" fontId="25" fillId="6" borderId="2" xfId="10" applyNumberFormat="1" applyFont="1" applyFill="1" applyBorder="1" applyAlignment="1">
      <alignment vertical="center"/>
    </xf>
    <xf numFmtId="0" fontId="14" fillId="6" borderId="3" xfId="10" applyFont="1" applyFill="1" applyBorder="1" applyAlignment="1">
      <alignment vertical="center"/>
    </xf>
    <xf numFmtId="3" fontId="15" fillId="6" borderId="77" xfId="10" applyNumberFormat="1" applyFont="1" applyFill="1" applyBorder="1" applyAlignment="1">
      <alignment vertical="center"/>
    </xf>
    <xf numFmtId="0" fontId="15" fillId="6" borderId="77" xfId="10" applyFont="1" applyFill="1" applyBorder="1" applyAlignment="1">
      <alignment vertical="center"/>
    </xf>
    <xf numFmtId="3" fontId="33" fillId="8" borderId="94" xfId="10" applyNumberFormat="1" applyFont="1" applyFill="1" applyBorder="1" applyAlignment="1">
      <alignment horizontal="right" vertical="center"/>
    </xf>
    <xf numFmtId="3" fontId="33" fillId="7" borderId="95" xfId="10" applyNumberFormat="1" applyFont="1" applyFill="1" applyBorder="1" applyAlignment="1">
      <alignment horizontal="right" vertical="center"/>
    </xf>
    <xf numFmtId="3" fontId="33" fillId="9" borderId="95" xfId="10" applyNumberFormat="1" applyFont="1" applyFill="1" applyBorder="1" applyAlignment="1">
      <alignment horizontal="right" vertical="center"/>
    </xf>
    <xf numFmtId="0" fontId="5" fillId="0" borderId="0" xfId="10" applyFont="1" applyAlignment="1">
      <alignment horizontal="left" vertical="center"/>
    </xf>
    <xf numFmtId="0" fontId="23" fillId="6" borderId="13" xfId="10" applyFont="1" applyFill="1" applyBorder="1" applyAlignment="1">
      <alignment vertical="center"/>
    </xf>
    <xf numFmtId="0" fontId="23" fillId="6" borderId="10" xfId="10" applyFont="1" applyFill="1" applyBorder="1" applyAlignment="1">
      <alignment vertical="center"/>
    </xf>
    <xf numFmtId="0" fontId="6" fillId="6" borderId="11" xfId="10" applyFont="1" applyFill="1" applyBorder="1" applyAlignment="1">
      <alignment vertical="center"/>
    </xf>
    <xf numFmtId="0" fontId="14" fillId="6" borderId="8" xfId="10" applyFont="1" applyFill="1" applyBorder="1" applyAlignment="1">
      <alignment vertical="center"/>
    </xf>
    <xf numFmtId="166" fontId="26" fillId="6" borderId="9" xfId="10" applyNumberFormat="1" applyFont="1" applyFill="1" applyBorder="1" applyAlignment="1">
      <alignment horizontal="right" vertical="center"/>
    </xf>
    <xf numFmtId="166" fontId="26" fillId="6" borderId="11" xfId="10" applyNumberFormat="1" applyFont="1" applyFill="1" applyBorder="1" applyAlignment="1">
      <alignment horizontal="right" vertical="center"/>
    </xf>
    <xf numFmtId="166" fontId="26" fillId="6" borderId="15" xfId="10" applyNumberFormat="1" applyFont="1" applyFill="1" applyBorder="1" applyAlignment="1">
      <alignment horizontal="right" vertical="center"/>
    </xf>
    <xf numFmtId="3" fontId="6" fillId="7" borderId="115" xfId="10" applyNumberFormat="1" applyFont="1" applyFill="1" applyBorder="1" applyAlignment="1">
      <alignment horizontal="right" vertical="center"/>
    </xf>
    <xf numFmtId="10" fontId="0" fillId="0" borderId="0" xfId="1" applyNumberFormat="1" applyFont="1"/>
    <xf numFmtId="0" fontId="6" fillId="6" borderId="0" xfId="10" applyFont="1" applyFill="1" applyAlignment="1">
      <alignment horizontal="center" vertical="center"/>
    </xf>
    <xf numFmtId="0" fontId="6" fillId="0" borderId="24" xfId="10" applyFont="1" applyBorder="1" applyAlignment="1">
      <alignment horizontal="left" vertical="center"/>
    </xf>
    <xf numFmtId="0" fontId="6" fillId="0" borderId="84" xfId="1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/>
    </xf>
    <xf numFmtId="0" fontId="6" fillId="0" borderId="19" xfId="0" applyFont="1" applyBorder="1" applyAlignment="1">
      <alignment horizontal="left" vertical="center" indent="1"/>
    </xf>
    <xf numFmtId="0" fontId="6" fillId="0" borderId="20" xfId="0" applyFont="1" applyBorder="1" applyAlignment="1">
      <alignment horizontal="center" vertical="center"/>
    </xf>
    <xf numFmtId="0" fontId="6" fillId="6" borderId="19" xfId="0" applyFont="1" applyFill="1" applyBorder="1" applyAlignment="1">
      <alignment horizontal="left" vertical="center" indent="1"/>
    </xf>
    <xf numFmtId="0" fontId="6" fillId="0" borderId="22" xfId="0" applyFont="1" applyBorder="1" applyAlignment="1">
      <alignment horizontal="center" vertical="center"/>
    </xf>
    <xf numFmtId="0" fontId="0" fillId="0" borderId="85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43" xfId="0" applyBorder="1" applyAlignment="1">
      <alignment horizontal="center"/>
    </xf>
    <xf numFmtId="0" fontId="0" fillId="0" borderId="12" xfId="0" applyBorder="1"/>
    <xf numFmtId="3" fontId="0" fillId="0" borderId="44" xfId="0" applyNumberFormat="1" applyBorder="1" applyAlignment="1">
      <alignment horizontal="right" indent="1"/>
    </xf>
    <xf numFmtId="10" fontId="0" fillId="0" borderId="18" xfId="1" applyNumberFormat="1" applyFont="1" applyBorder="1" applyAlignment="1">
      <alignment horizontal="right" indent="1"/>
    </xf>
    <xf numFmtId="3" fontId="0" fillId="0" borderId="43" xfId="0" applyNumberFormat="1" applyBorder="1" applyAlignment="1">
      <alignment horizontal="right" indent="1"/>
    </xf>
    <xf numFmtId="10" fontId="0" fillId="0" borderId="12" xfId="1" applyNumberFormat="1" applyFont="1" applyBorder="1" applyAlignment="1">
      <alignment horizontal="right" indent="1"/>
    </xf>
    <xf numFmtId="10" fontId="0" fillId="0" borderId="44" xfId="1" applyNumberFormat="1" applyFont="1" applyBorder="1" applyAlignment="1">
      <alignment horizontal="right" indent="1"/>
    </xf>
    <xf numFmtId="3" fontId="0" fillId="0" borderId="12" xfId="0" applyNumberFormat="1" applyBorder="1" applyAlignment="1">
      <alignment horizontal="right" indent="1"/>
    </xf>
    <xf numFmtId="0" fontId="0" fillId="0" borderId="20" xfId="0" applyBorder="1" applyAlignment="1">
      <alignment horizontal="center"/>
    </xf>
    <xf numFmtId="0" fontId="0" fillId="0" borderId="19" xfId="0" applyBorder="1"/>
    <xf numFmtId="3" fontId="0" fillId="0" borderId="16" xfId="0" applyNumberFormat="1" applyBorder="1" applyAlignment="1">
      <alignment horizontal="right" indent="1"/>
    </xf>
    <xf numFmtId="10" fontId="0" fillId="0" borderId="21" xfId="1" applyNumberFormat="1" applyFont="1" applyBorder="1" applyAlignment="1">
      <alignment horizontal="right" indent="1"/>
    </xf>
    <xf numFmtId="10" fontId="0" fillId="0" borderId="16" xfId="1" applyNumberFormat="1" applyFont="1" applyBorder="1" applyAlignment="1">
      <alignment horizontal="right" indent="1"/>
    </xf>
    <xf numFmtId="0" fontId="0" fillId="0" borderId="33" xfId="0" applyBorder="1" applyAlignment="1">
      <alignment horizontal="center"/>
    </xf>
    <xf numFmtId="0" fontId="0" fillId="0" borderId="37" xfId="0" applyBorder="1"/>
    <xf numFmtId="3" fontId="0" fillId="0" borderId="36" xfId="0" applyNumberFormat="1" applyBorder="1" applyAlignment="1">
      <alignment horizontal="right" indent="1"/>
    </xf>
    <xf numFmtId="10" fontId="0" fillId="0" borderId="35" xfId="1" applyNumberFormat="1" applyFont="1" applyBorder="1" applyAlignment="1">
      <alignment horizontal="right" indent="1"/>
    </xf>
    <xf numFmtId="3" fontId="0" fillId="0" borderId="33" xfId="0" applyNumberFormat="1" applyBorder="1" applyAlignment="1">
      <alignment horizontal="right" indent="1"/>
    </xf>
    <xf numFmtId="10" fontId="0" fillId="0" borderId="37" xfId="1" applyNumberFormat="1" applyFont="1" applyBorder="1" applyAlignment="1">
      <alignment horizontal="right" indent="1"/>
    </xf>
    <xf numFmtId="10" fontId="0" fillId="0" borderId="36" xfId="1" applyNumberFormat="1" applyFont="1" applyBorder="1" applyAlignment="1">
      <alignment horizontal="right" indent="1"/>
    </xf>
    <xf numFmtId="3" fontId="0" fillId="0" borderId="37" xfId="0" applyNumberFormat="1" applyBorder="1" applyAlignment="1">
      <alignment horizontal="right" indent="1"/>
    </xf>
    <xf numFmtId="3" fontId="12" fillId="0" borderId="41" xfId="0" applyNumberFormat="1" applyFont="1" applyBorder="1" applyAlignment="1">
      <alignment horizontal="right" indent="1"/>
    </xf>
    <xf numFmtId="10" fontId="12" fillId="0" borderId="2" xfId="1" applyNumberFormat="1" applyFont="1" applyBorder="1" applyAlignment="1">
      <alignment horizontal="right" indent="1"/>
    </xf>
    <xf numFmtId="3" fontId="12" fillId="0" borderId="1" xfId="0" applyNumberFormat="1" applyFont="1" applyBorder="1" applyAlignment="1">
      <alignment horizontal="right" indent="1"/>
    </xf>
    <xf numFmtId="10" fontId="12" fillId="0" borderId="4" xfId="1" applyNumberFormat="1" applyFont="1" applyBorder="1" applyAlignment="1">
      <alignment horizontal="right" indent="1"/>
    </xf>
    <xf numFmtId="3" fontId="12" fillId="0" borderId="4" xfId="0" applyNumberFormat="1" applyFont="1" applyBorder="1" applyAlignment="1">
      <alignment horizontal="right" indent="1"/>
    </xf>
    <xf numFmtId="171" fontId="0" fillId="0" borderId="0" xfId="0" applyNumberFormat="1"/>
    <xf numFmtId="0" fontId="0" fillId="0" borderId="17" xfId="0" applyBorder="1"/>
    <xf numFmtId="0" fontId="0" fillId="0" borderId="14" xfId="0" applyBorder="1"/>
    <xf numFmtId="0" fontId="0" fillId="0" borderId="22" xfId="0" applyBorder="1" applyAlignment="1">
      <alignment horizontal="center"/>
    </xf>
    <xf numFmtId="0" fontId="0" fillId="0" borderId="23" xfId="0" applyBorder="1"/>
    <xf numFmtId="0" fontId="15" fillId="6" borderId="0" xfId="10" applyFont="1" applyFill="1" applyAlignment="1">
      <alignment horizontal="center" vertical="center" wrapText="1"/>
    </xf>
    <xf numFmtId="10" fontId="6" fillId="6" borderId="0" xfId="10" applyNumberFormat="1" applyFont="1" applyFill="1" applyAlignment="1">
      <alignment horizontal="center" vertical="center"/>
    </xf>
    <xf numFmtId="3" fontId="5" fillId="0" borderId="0" xfId="10" applyNumberFormat="1" applyFont="1" applyAlignment="1">
      <alignment horizontal="center" vertical="center"/>
    </xf>
    <xf numFmtId="0" fontId="14" fillId="7" borderId="4" xfId="10" applyFont="1" applyFill="1" applyBorder="1" applyAlignment="1">
      <alignment horizontal="center" vertical="top"/>
    </xf>
    <xf numFmtId="3" fontId="5" fillId="7" borderId="15" xfId="10" applyNumberFormat="1" applyFont="1" applyFill="1" applyBorder="1" applyAlignment="1">
      <alignment horizontal="center" vertical="center"/>
    </xf>
    <xf numFmtId="3" fontId="5" fillId="7" borderId="12" xfId="10" applyNumberFormat="1" applyFont="1" applyFill="1" applyBorder="1" applyAlignment="1">
      <alignment horizontal="center" vertical="center"/>
    </xf>
    <xf numFmtId="3" fontId="5" fillId="7" borderId="26" xfId="10" applyNumberFormat="1" applyFont="1" applyFill="1" applyBorder="1" applyAlignment="1">
      <alignment horizontal="center" vertical="center"/>
    </xf>
    <xf numFmtId="0" fontId="8" fillId="0" borderId="0" xfId="8" applyFont="1" applyAlignment="1">
      <alignment horizontal="right"/>
    </xf>
    <xf numFmtId="3" fontId="6" fillId="0" borderId="0" xfId="10" applyNumberFormat="1" applyFont="1" applyAlignment="1">
      <alignment vertical="center"/>
    </xf>
    <xf numFmtId="0" fontId="3" fillId="0" borderId="0" xfId="2" applyFont="1"/>
    <xf numFmtId="0" fontId="56" fillId="0" borderId="0" xfId="2" applyFont="1"/>
    <xf numFmtId="0" fontId="57" fillId="0" borderId="0" xfId="0" applyFont="1"/>
    <xf numFmtId="0" fontId="54" fillId="0" borderId="0" xfId="0" applyFont="1"/>
    <xf numFmtId="0" fontId="8" fillId="0" borderId="0" xfId="0" applyFont="1" applyAlignment="1">
      <alignment horizontal="center"/>
    </xf>
    <xf numFmtId="0" fontId="6" fillId="0" borderId="0" xfId="9" quotePrefix="1" applyFont="1"/>
    <xf numFmtId="0" fontId="8" fillId="0" borderId="0" xfId="0" applyFont="1" applyAlignment="1">
      <alignment horizontal="center" vertical="top"/>
    </xf>
    <xf numFmtId="0" fontId="6" fillId="0" borderId="0" xfId="0" quotePrefix="1" applyFont="1"/>
    <xf numFmtId="0" fontId="6" fillId="0" borderId="0" xfId="9" quotePrefix="1" applyFont="1" applyAlignment="1"/>
    <xf numFmtId="0" fontId="6" fillId="0" borderId="0" xfId="9" applyFont="1" applyAlignment="1"/>
    <xf numFmtId="3" fontId="8" fillId="0" borderId="11" xfId="8" applyNumberFormat="1" applyFont="1" applyBorder="1" applyAlignment="1">
      <alignment horizontal="right" vertical="center" indent="1"/>
    </xf>
    <xf numFmtId="0" fontId="7" fillId="0" borderId="45" xfId="8" applyFont="1" applyBorder="1" applyAlignment="1">
      <alignment horizontal="center" vertical="center"/>
    </xf>
    <xf numFmtId="0" fontId="7" fillId="0" borderId="1" xfId="8" applyFont="1" applyBorder="1" applyAlignment="1">
      <alignment horizontal="center" vertical="center"/>
    </xf>
    <xf numFmtId="0" fontId="7" fillId="0" borderId="41" xfId="8" applyFont="1" applyBorder="1" applyAlignment="1">
      <alignment horizontal="center" vertical="center"/>
    </xf>
    <xf numFmtId="0" fontId="8" fillId="0" borderId="17" xfId="5" applyFont="1" applyBorder="1" applyAlignment="1">
      <alignment horizontal="left" vertical="center"/>
    </xf>
    <xf numFmtId="0" fontId="8" fillId="0" borderId="47" xfId="5" applyFont="1" applyBorder="1" applyAlignment="1">
      <alignment horizontal="left" vertical="center"/>
    </xf>
    <xf numFmtId="0" fontId="8" fillId="0" borderId="14" xfId="5" applyFont="1" applyBorder="1" applyAlignment="1">
      <alignment horizontal="left" vertical="center"/>
    </xf>
    <xf numFmtId="0" fontId="8" fillId="0" borderId="40" xfId="5" applyFont="1" applyBorder="1" applyAlignment="1">
      <alignment horizontal="left" vertical="center"/>
    </xf>
    <xf numFmtId="6" fontId="0" fillId="0" borderId="0" xfId="0" applyNumberFormat="1"/>
    <xf numFmtId="0" fontId="0" fillId="0" borderId="36" xfId="0" applyBorder="1" applyAlignment="1">
      <alignment horizontal="center" vertical="center" wrapText="1"/>
    </xf>
    <xf numFmtId="0" fontId="0" fillId="0" borderId="10" xfId="0" applyBorder="1"/>
    <xf numFmtId="0" fontId="0" fillId="0" borderId="15" xfId="0" applyBorder="1"/>
    <xf numFmtId="3" fontId="0" fillId="0" borderId="9" xfId="0" applyNumberFormat="1" applyBorder="1" applyAlignment="1">
      <alignment horizontal="right" indent="1"/>
    </xf>
    <xf numFmtId="10" fontId="0" fillId="0" borderId="11" xfId="1" applyNumberFormat="1" applyFont="1" applyBorder="1" applyAlignment="1">
      <alignment horizontal="right" indent="1"/>
    </xf>
    <xf numFmtId="3" fontId="0" fillId="0" borderId="13" xfId="0" applyNumberFormat="1" applyBorder="1" applyAlignment="1">
      <alignment horizontal="right" indent="1"/>
    </xf>
    <xf numFmtId="3" fontId="0" fillId="0" borderId="15" xfId="0" applyNumberFormat="1" applyBorder="1" applyAlignment="1">
      <alignment horizontal="right" indent="1"/>
    </xf>
    <xf numFmtId="0" fontId="0" fillId="0" borderId="14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6" xfId="0" applyBorder="1"/>
    <xf numFmtId="3" fontId="0" fillId="0" borderId="85" xfId="0" applyNumberFormat="1" applyBorder="1" applyAlignment="1">
      <alignment horizontal="right" indent="1"/>
    </xf>
    <xf numFmtId="10" fontId="0" fillId="0" borderId="24" xfId="1" applyNumberFormat="1" applyFont="1" applyBorder="1" applyAlignment="1">
      <alignment horizontal="right" indent="1"/>
    </xf>
    <xf numFmtId="3" fontId="0" fillId="0" borderId="22" xfId="0" applyNumberFormat="1" applyBorder="1" applyAlignment="1">
      <alignment horizontal="right" indent="1"/>
    </xf>
    <xf numFmtId="10" fontId="0" fillId="0" borderId="26" xfId="1" applyNumberFormat="1" applyFont="1" applyBorder="1" applyAlignment="1">
      <alignment horizontal="right" indent="1"/>
    </xf>
    <xf numFmtId="3" fontId="0" fillId="0" borderId="26" xfId="0" applyNumberFormat="1" applyBorder="1" applyAlignment="1">
      <alignment horizontal="right" indent="1"/>
    </xf>
    <xf numFmtId="3" fontId="12" fillId="0" borderId="29" xfId="0" applyNumberFormat="1" applyFont="1" applyBorder="1" applyAlignment="1">
      <alignment horizontal="right" indent="1"/>
    </xf>
    <xf numFmtId="10" fontId="12" fillId="0" borderId="30" xfId="1" applyNumberFormat="1" applyFont="1" applyBorder="1" applyAlignment="1">
      <alignment horizontal="right" indent="1"/>
    </xf>
    <xf numFmtId="3" fontId="12" fillId="0" borderId="38" xfId="0" applyNumberFormat="1" applyFont="1" applyBorder="1" applyAlignment="1">
      <alignment horizontal="right" indent="1"/>
    </xf>
    <xf numFmtId="10" fontId="12" fillId="0" borderId="31" xfId="1" applyNumberFormat="1" applyFont="1" applyBorder="1" applyAlignment="1">
      <alignment horizontal="right" indent="1"/>
    </xf>
    <xf numFmtId="171" fontId="0" fillId="0" borderId="0" xfId="0" applyNumberFormat="1" applyAlignment="1">
      <alignment horizontal="center"/>
    </xf>
    <xf numFmtId="0" fontId="12" fillId="13" borderId="1" xfId="0" applyFont="1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9" fontId="0" fillId="0" borderId="14" xfId="0" applyNumberForma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0" fontId="12" fillId="0" borderId="5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34" xfId="0" applyBorder="1" applyAlignment="1">
      <alignment horizontal="center"/>
    </xf>
    <xf numFmtId="0" fontId="7" fillId="0" borderId="85" xfId="8" applyFont="1" applyBorder="1" applyAlignment="1">
      <alignment horizontal="center" vertical="center" wrapText="1"/>
    </xf>
    <xf numFmtId="0" fontId="7" fillId="0" borderId="24" xfId="8" applyFont="1" applyBorder="1" applyAlignment="1">
      <alignment horizontal="center" vertical="center" wrapText="1"/>
    </xf>
    <xf numFmtId="49" fontId="48" fillId="0" borderId="43" xfId="8" applyNumberFormat="1" applyFont="1" applyBorder="1" applyAlignment="1">
      <alignment horizontal="center" vertical="center"/>
    </xf>
    <xf numFmtId="0" fontId="48" fillId="0" borderId="12" xfId="8" applyFont="1" applyBorder="1" applyAlignment="1">
      <alignment horizontal="left" vertical="center" indent="1"/>
    </xf>
    <xf numFmtId="49" fontId="48" fillId="0" borderId="20" xfId="8" applyNumberFormat="1" applyFont="1" applyBorder="1" applyAlignment="1">
      <alignment horizontal="center" vertical="center"/>
    </xf>
    <xf numFmtId="0" fontId="48" fillId="0" borderId="19" xfId="8" applyFont="1" applyBorder="1" applyAlignment="1">
      <alignment horizontal="left" vertical="center" indent="1"/>
    </xf>
    <xf numFmtId="49" fontId="48" fillId="0" borderId="33" xfId="8" applyNumberFormat="1" applyFont="1" applyBorder="1" applyAlignment="1">
      <alignment horizontal="center" vertical="center"/>
    </xf>
    <xf numFmtId="0" fontId="51" fillId="0" borderId="4" xfId="8" applyFont="1" applyBorder="1" applyAlignment="1">
      <alignment horizontal="left" vertical="center" indent="1"/>
    </xf>
    <xf numFmtId="3" fontId="5" fillId="0" borderId="1" xfId="8" applyNumberFormat="1" applyFont="1" applyBorder="1" applyAlignment="1">
      <alignment horizontal="right" vertical="center" indent="1"/>
    </xf>
    <xf numFmtId="0" fontId="6" fillId="6" borderId="11" xfId="0" applyFont="1" applyFill="1" applyBorder="1" applyAlignment="1">
      <alignment horizontal="right" indent="1"/>
    </xf>
    <xf numFmtId="0" fontId="6" fillId="6" borderId="21" xfId="0" applyFont="1" applyFill="1" applyBorder="1" applyAlignment="1">
      <alignment horizontal="right" indent="1"/>
    </xf>
    <xf numFmtId="0" fontId="8" fillId="6" borderId="54" xfId="0" applyFont="1" applyFill="1" applyBorder="1" applyAlignment="1">
      <alignment horizontal="right" indent="1"/>
    </xf>
    <xf numFmtId="1" fontId="8" fillId="0" borderId="14" xfId="0" applyNumberFormat="1" applyFont="1" applyBorder="1" applyAlignment="1">
      <alignment horizontal="right" indent="1"/>
    </xf>
    <xf numFmtId="0" fontId="6" fillId="6" borderId="54" xfId="0" applyFont="1" applyFill="1" applyBorder="1" applyAlignment="1">
      <alignment horizontal="right" indent="1"/>
    </xf>
    <xf numFmtId="0" fontId="8" fillId="6" borderId="16" xfId="0" applyFont="1" applyFill="1" applyBorder="1" applyAlignment="1">
      <alignment horizontal="right" wrapText="1" indent="1"/>
    </xf>
    <xf numFmtId="0" fontId="6" fillId="6" borderId="54" xfId="0" applyFont="1" applyFill="1" applyBorder="1" applyAlignment="1">
      <alignment horizontal="right" wrapText="1" indent="1"/>
    </xf>
    <xf numFmtId="0" fontId="8" fillId="6" borderId="81" xfId="0" applyFont="1" applyFill="1" applyBorder="1" applyAlignment="1">
      <alignment horizontal="right" indent="1"/>
    </xf>
    <xf numFmtId="0" fontId="8" fillId="6" borderId="16" xfId="0" applyFont="1" applyFill="1" applyBorder="1" applyAlignment="1">
      <alignment horizontal="right" indent="1"/>
    </xf>
    <xf numFmtId="0" fontId="6" fillId="6" borderId="16" xfId="0" applyFont="1" applyFill="1" applyBorder="1" applyAlignment="1">
      <alignment horizontal="right" indent="1"/>
    </xf>
    <xf numFmtId="1" fontId="8" fillId="6" borderId="14" xfId="0" applyNumberFormat="1" applyFont="1" applyFill="1" applyBorder="1" applyAlignment="1">
      <alignment horizontal="right" indent="1"/>
    </xf>
    <xf numFmtId="0" fontId="8" fillId="0" borderId="81" xfId="0" applyFont="1" applyBorder="1" applyAlignment="1">
      <alignment horizontal="right" indent="1"/>
    </xf>
    <xf numFmtId="0" fontId="6" fillId="0" borderId="16" xfId="0" applyFont="1" applyBorder="1" applyAlignment="1">
      <alignment horizontal="right" indent="1"/>
    </xf>
    <xf numFmtId="3" fontId="5" fillId="0" borderId="77" xfId="8" applyNumberFormat="1" applyFont="1" applyBorder="1" applyAlignment="1">
      <alignment horizontal="right" vertical="center" indent="1"/>
    </xf>
    <xf numFmtId="3" fontId="6" fillId="0" borderId="113" xfId="8" applyNumberFormat="1" applyFont="1" applyBorder="1" applyAlignment="1">
      <alignment horizontal="right" vertical="center" indent="1"/>
    </xf>
    <xf numFmtId="3" fontId="5" fillId="0" borderId="46" xfId="8" applyNumberFormat="1" applyFont="1" applyBorder="1" applyAlignment="1">
      <alignment horizontal="right" vertical="center" indent="1"/>
    </xf>
    <xf numFmtId="0" fontId="59" fillId="0" borderId="0" xfId="8" applyFont="1" applyAlignment="1">
      <alignment horizontal="right" vertical="center"/>
    </xf>
    <xf numFmtId="10" fontId="53" fillId="0" borderId="0" xfId="0" applyNumberFormat="1" applyFont="1" applyAlignment="1">
      <alignment horizontal="left" vertic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8" fillId="0" borderId="0" xfId="8" applyFont="1" applyAlignment="1">
      <alignment horizontal="left"/>
    </xf>
    <xf numFmtId="4" fontId="0" fillId="0" borderId="0" xfId="0" applyNumberFormat="1"/>
    <xf numFmtId="172" fontId="0" fillId="0" borderId="0" xfId="0" applyNumberFormat="1"/>
    <xf numFmtId="0" fontId="60" fillId="0" borderId="0" xfId="3" applyFont="1" applyAlignment="1">
      <alignment horizontal="right" vertical="center"/>
    </xf>
    <xf numFmtId="0" fontId="11" fillId="0" borderId="0" xfId="9" applyFill="1" applyAlignment="1">
      <alignment horizontal="left" vertical="center"/>
    </xf>
    <xf numFmtId="0" fontId="61" fillId="0" borderId="0" xfId="9" quotePrefix="1" applyFont="1" applyFill="1"/>
    <xf numFmtId="0" fontId="61" fillId="0" borderId="0" xfId="9" applyFont="1" applyFill="1"/>
    <xf numFmtId="3" fontId="12" fillId="0" borderId="0" xfId="0" applyNumberFormat="1" applyFont="1" applyAlignment="1">
      <alignment horizontal="right" indent="1"/>
    </xf>
    <xf numFmtId="10" fontId="0" fillId="0" borderId="13" xfId="0" applyNumberFormat="1" applyBorder="1" applyAlignment="1">
      <alignment horizontal="right" indent="1"/>
    </xf>
    <xf numFmtId="10" fontId="0" fillId="0" borderId="10" xfId="1" applyNumberFormat="1" applyFont="1" applyBorder="1" applyAlignment="1">
      <alignment horizontal="right" indent="1"/>
    </xf>
    <xf numFmtId="10" fontId="0" fillId="0" borderId="13" xfId="1" applyNumberFormat="1" applyFont="1" applyBorder="1" applyAlignment="1">
      <alignment horizontal="right" indent="1"/>
    </xf>
    <xf numFmtId="10" fontId="0" fillId="0" borderId="20" xfId="1" applyNumberFormat="1" applyFont="1" applyBorder="1" applyAlignment="1">
      <alignment horizontal="right" indent="1"/>
    </xf>
    <xf numFmtId="10" fontId="0" fillId="0" borderId="14" xfId="1" applyNumberFormat="1" applyFont="1" applyBorder="1" applyAlignment="1">
      <alignment horizontal="right" indent="1"/>
    </xf>
    <xf numFmtId="10" fontId="0" fillId="0" borderId="22" xfId="1" applyNumberFormat="1" applyFont="1" applyBorder="1" applyAlignment="1">
      <alignment horizontal="right" indent="1"/>
    </xf>
    <xf numFmtId="10" fontId="0" fillId="0" borderId="23" xfId="1" applyNumberFormat="1" applyFont="1" applyBorder="1" applyAlignment="1">
      <alignment horizontal="right" indent="1"/>
    </xf>
    <xf numFmtId="10" fontId="0" fillId="0" borderId="38" xfId="0" applyNumberFormat="1" applyBorder="1" applyAlignment="1">
      <alignment horizontal="right" indent="1"/>
    </xf>
    <xf numFmtId="10" fontId="0" fillId="0" borderId="30" xfId="1" applyNumberFormat="1" applyFont="1" applyBorder="1" applyAlignment="1">
      <alignment horizontal="right" indent="1"/>
    </xf>
    <xf numFmtId="10" fontId="0" fillId="0" borderId="32" xfId="1" applyNumberFormat="1" applyFont="1" applyBorder="1" applyAlignment="1">
      <alignment horizontal="right" indent="1"/>
    </xf>
    <xf numFmtId="10" fontId="0" fillId="0" borderId="38" xfId="1" applyNumberFormat="1" applyFont="1" applyBorder="1" applyAlignment="1">
      <alignment horizontal="right" indent="1"/>
    </xf>
    <xf numFmtId="3" fontId="0" fillId="0" borderId="31" xfId="0" applyNumberFormat="1" applyBorder="1" applyAlignment="1">
      <alignment horizontal="right" indent="1"/>
    </xf>
    <xf numFmtId="0" fontId="0" fillId="0" borderId="17" xfId="0" applyBorder="1" applyAlignment="1">
      <alignment horizontal="left" indent="1"/>
    </xf>
    <xf numFmtId="0" fontId="0" fillId="0" borderId="14" xfId="0" applyBorder="1" applyAlignment="1">
      <alignment horizontal="left" indent="1"/>
    </xf>
    <xf numFmtId="0" fontId="0" fillId="0" borderId="34" xfId="0" applyBorder="1" applyAlignment="1">
      <alignment horizontal="left" indent="1"/>
    </xf>
    <xf numFmtId="0" fontId="0" fillId="0" borderId="23" xfId="0" applyBorder="1" applyAlignment="1">
      <alignment horizontal="left" indent="1"/>
    </xf>
    <xf numFmtId="0" fontId="0" fillId="0" borderId="18" xfId="0" applyBorder="1" applyAlignment="1">
      <alignment horizontal="left" indent="1"/>
    </xf>
    <xf numFmtId="0" fontId="0" fillId="0" borderId="21" xfId="0" applyBorder="1" applyAlignment="1">
      <alignment horizontal="left" indent="1"/>
    </xf>
    <xf numFmtId="0" fontId="0" fillId="0" borderId="35" xfId="0" applyBorder="1" applyAlignment="1">
      <alignment horizontal="left" indent="1"/>
    </xf>
    <xf numFmtId="0" fontId="0" fillId="0" borderId="24" xfId="0" applyBorder="1" applyAlignment="1">
      <alignment horizontal="left" inden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8" fillId="0" borderId="34" xfId="5" applyFont="1" applyBorder="1" applyAlignment="1">
      <alignment horizontal="left" vertical="center"/>
    </xf>
    <xf numFmtId="0" fontId="8" fillId="0" borderId="48" xfId="5" applyFont="1" applyBorder="1" applyAlignment="1">
      <alignment horizontal="left" vertical="center"/>
    </xf>
    <xf numFmtId="10" fontId="8" fillId="0" borderId="17" xfId="1" applyNumberFormat="1" applyFont="1" applyBorder="1" applyAlignment="1">
      <alignment horizontal="right" vertical="center" indent="1"/>
    </xf>
    <xf numFmtId="10" fontId="8" fillId="0" borderId="14" xfId="1" applyNumberFormat="1" applyFont="1" applyBorder="1" applyAlignment="1">
      <alignment horizontal="right" vertical="center" indent="1"/>
    </xf>
    <xf numFmtId="10" fontId="8" fillId="0" borderId="34" xfId="1" applyNumberFormat="1" applyFont="1" applyBorder="1" applyAlignment="1">
      <alignment horizontal="right" vertical="center" indent="1"/>
    </xf>
    <xf numFmtId="3" fontId="8" fillId="0" borderId="47" xfId="5" applyNumberFormat="1" applyFont="1" applyBorder="1" applyAlignment="1">
      <alignment horizontal="right" vertical="center" indent="1"/>
    </xf>
    <xf numFmtId="3" fontId="8" fillId="0" borderId="40" xfId="5" applyNumberFormat="1" applyFont="1" applyBorder="1" applyAlignment="1">
      <alignment horizontal="right" vertical="center" indent="1"/>
    </xf>
    <xf numFmtId="3" fontId="8" fillId="0" borderId="48" xfId="5" applyNumberFormat="1" applyFont="1" applyBorder="1" applyAlignment="1">
      <alignment horizontal="right" vertical="center" indent="1"/>
    </xf>
    <xf numFmtId="3" fontId="8" fillId="6" borderId="11" xfId="0" applyNumberFormat="1" applyFont="1" applyFill="1" applyBorder="1" applyAlignment="1">
      <alignment horizontal="right" indent="1"/>
    </xf>
    <xf numFmtId="3" fontId="8" fillId="6" borderId="21" xfId="0" applyNumberFormat="1" applyFont="1" applyFill="1" applyBorder="1" applyAlignment="1">
      <alignment horizontal="right" indent="1"/>
    </xf>
    <xf numFmtId="3" fontId="6" fillId="0" borderId="21" xfId="8" applyNumberFormat="1" applyFont="1" applyBorder="1" applyAlignment="1">
      <alignment horizontal="right" vertical="center" indent="1"/>
    </xf>
    <xf numFmtId="3" fontId="8" fillId="6" borderId="35" xfId="0" applyNumberFormat="1" applyFont="1" applyFill="1" applyBorder="1" applyAlignment="1">
      <alignment horizontal="right" indent="1"/>
    </xf>
    <xf numFmtId="3" fontId="8" fillId="6" borderId="63" xfId="0" applyNumberFormat="1" applyFont="1" applyFill="1" applyBorder="1" applyAlignment="1">
      <alignment horizontal="right" indent="1"/>
    </xf>
    <xf numFmtId="3" fontId="8" fillId="0" borderId="35" xfId="0" applyNumberFormat="1" applyFont="1" applyBorder="1" applyAlignment="1">
      <alignment horizontal="right" indent="1"/>
    </xf>
    <xf numFmtId="3" fontId="8" fillId="0" borderId="21" xfId="0" applyNumberFormat="1" applyFont="1" applyBorder="1" applyAlignment="1">
      <alignment horizontal="right" indent="1"/>
    </xf>
    <xf numFmtId="3" fontId="8" fillId="7" borderId="70" xfId="10" applyNumberFormat="1" applyFont="1" applyFill="1" applyBorder="1" applyAlignment="1">
      <alignment horizontal="right" vertical="center"/>
    </xf>
    <xf numFmtId="172" fontId="0" fillId="0" borderId="0" xfId="1" applyNumberFormat="1" applyFont="1"/>
    <xf numFmtId="0" fontId="12" fillId="0" borderId="0" xfId="0" applyFont="1"/>
    <xf numFmtId="3" fontId="12" fillId="0" borderId="0" xfId="0" applyNumberFormat="1" applyFont="1"/>
    <xf numFmtId="14" fontId="1" fillId="0" borderId="0" xfId="8" applyNumberFormat="1" applyAlignment="1">
      <alignment horizontal="right"/>
    </xf>
    <xf numFmtId="14" fontId="7" fillId="0" borderId="0" xfId="8" applyNumberFormat="1" applyFont="1"/>
    <xf numFmtId="10" fontId="0" fillId="0" borderId="0" xfId="0" applyNumberFormat="1"/>
    <xf numFmtId="3" fontId="8" fillId="0" borderId="19" xfId="0" applyNumberFormat="1" applyFont="1" applyBorder="1" applyAlignment="1">
      <alignment horizontal="right" vertical="center" indent="1"/>
    </xf>
    <xf numFmtId="3" fontId="8" fillId="6" borderId="19" xfId="0" applyNumberFormat="1" applyFont="1" applyFill="1" applyBorder="1" applyAlignment="1">
      <alignment horizontal="right" vertical="center" indent="1"/>
    </xf>
    <xf numFmtId="3" fontId="8" fillId="6" borderId="37" xfId="0" applyNumberFormat="1" applyFont="1" applyFill="1" applyBorder="1" applyAlignment="1">
      <alignment horizontal="right" vertical="center" indent="1"/>
    </xf>
    <xf numFmtId="3" fontId="5" fillId="6" borderId="4" xfId="0" applyNumberFormat="1" applyFont="1" applyFill="1" applyBorder="1" applyAlignment="1">
      <alignment horizontal="right" vertical="center" indent="1"/>
    </xf>
    <xf numFmtId="3" fontId="7" fillId="7" borderId="46" xfId="10" applyNumberFormat="1" applyFont="1" applyFill="1" applyBorder="1" applyAlignment="1">
      <alignment horizontal="right" vertical="center"/>
    </xf>
    <xf numFmtId="0" fontId="5" fillId="0" borderId="42" xfId="0" applyFont="1" applyBorder="1" applyAlignment="1">
      <alignment horizontal="center" vertical="center" wrapText="1"/>
    </xf>
    <xf numFmtId="10" fontId="8" fillId="0" borderId="53" xfId="1" applyNumberFormat="1" applyFont="1" applyBorder="1" applyAlignment="1">
      <alignment horizontal="right" vertical="center" indent="1"/>
    </xf>
    <xf numFmtId="10" fontId="8" fillId="6" borderId="53" xfId="1" applyNumberFormat="1" applyFont="1" applyFill="1" applyBorder="1" applyAlignment="1">
      <alignment horizontal="right" vertical="center" indent="1"/>
    </xf>
    <xf numFmtId="10" fontId="8" fillId="6" borderId="117" xfId="1" applyNumberFormat="1" applyFont="1" applyFill="1" applyBorder="1" applyAlignment="1">
      <alignment horizontal="right" vertical="center" indent="1"/>
    </xf>
    <xf numFmtId="166" fontId="5" fillId="6" borderId="42" xfId="1" applyNumberFormat="1" applyFont="1" applyFill="1" applyBorder="1" applyAlignment="1">
      <alignment horizontal="right" vertical="center" indent="1"/>
    </xf>
    <xf numFmtId="3" fontId="6" fillId="0" borderId="114" xfId="10" applyNumberFormat="1" applyFont="1" applyBorder="1" applyAlignment="1">
      <alignment horizontal="right" vertical="center"/>
    </xf>
    <xf numFmtId="3" fontId="6" fillId="0" borderId="88" xfId="10" applyNumberFormat="1" applyFont="1" applyBorder="1" applyAlignment="1">
      <alignment horizontal="right" vertical="center"/>
    </xf>
    <xf numFmtId="3" fontId="6" fillId="0" borderId="82" xfId="10" applyNumberFormat="1" applyFont="1" applyBorder="1" applyAlignment="1">
      <alignment horizontal="right" vertical="center"/>
    </xf>
    <xf numFmtId="3" fontId="14" fillId="0" borderId="94" xfId="10" applyNumberFormat="1" applyFont="1" applyBorder="1" applyAlignment="1">
      <alignment horizontal="right" vertical="center"/>
    </xf>
    <xf numFmtId="3" fontId="6" fillId="8" borderId="115" xfId="10" applyNumberFormat="1" applyFont="1" applyFill="1" applyBorder="1" applyAlignment="1">
      <alignment horizontal="right" vertical="center"/>
    </xf>
    <xf numFmtId="3" fontId="6" fillId="8" borderId="89" xfId="10" applyNumberFormat="1" applyFont="1" applyFill="1" applyBorder="1" applyAlignment="1">
      <alignment horizontal="right" vertical="center"/>
    </xf>
    <xf numFmtId="3" fontId="6" fillId="8" borderId="83" xfId="10" applyNumberFormat="1" applyFont="1" applyFill="1" applyBorder="1" applyAlignment="1">
      <alignment horizontal="right" vertical="center"/>
    </xf>
    <xf numFmtId="3" fontId="33" fillId="8" borderId="95" xfId="10" applyNumberFormat="1" applyFont="1" applyFill="1" applyBorder="1" applyAlignment="1">
      <alignment horizontal="right" vertical="center"/>
    </xf>
    <xf numFmtId="9" fontId="12" fillId="10" borderId="45" xfId="0" applyNumberFormat="1" applyFont="1" applyFill="1" applyBorder="1"/>
    <xf numFmtId="10" fontId="12" fillId="10" borderId="42" xfId="0" applyNumberFormat="1" applyFont="1" applyFill="1" applyBorder="1"/>
    <xf numFmtId="10" fontId="12" fillId="10" borderId="45" xfId="0" applyNumberFormat="1" applyFont="1" applyFill="1" applyBorder="1"/>
    <xf numFmtId="9" fontId="12" fillId="10" borderId="8" xfId="0" applyNumberFormat="1" applyFont="1" applyFill="1" applyBorder="1" applyAlignment="1">
      <alignment vertical="center" wrapText="1"/>
    </xf>
    <xf numFmtId="165" fontId="12" fillId="10" borderId="106" xfId="1" applyNumberFormat="1" applyFont="1" applyFill="1" applyBorder="1" applyAlignment="1">
      <alignment vertical="center" wrapText="1"/>
    </xf>
    <xf numFmtId="0" fontId="0" fillId="11" borderId="56" xfId="0" applyFill="1" applyBorder="1"/>
    <xf numFmtId="0" fontId="0" fillId="11" borderId="0" xfId="0" applyFill="1"/>
    <xf numFmtId="0" fontId="0" fillId="11" borderId="57" xfId="0" applyFill="1" applyBorder="1"/>
    <xf numFmtId="10" fontId="0" fillId="11" borderId="105" xfId="1" applyNumberFormat="1" applyFont="1" applyFill="1" applyBorder="1"/>
    <xf numFmtId="10" fontId="0" fillId="11" borderId="57" xfId="1" applyNumberFormat="1" applyFont="1" applyFill="1" applyBorder="1"/>
    <xf numFmtId="165" fontId="0" fillId="11" borderId="56" xfId="1" applyNumberFormat="1" applyFont="1" applyFill="1" applyBorder="1"/>
    <xf numFmtId="165" fontId="0" fillId="11" borderId="49" xfId="1" applyNumberFormat="1" applyFont="1" applyFill="1" applyBorder="1"/>
    <xf numFmtId="10" fontId="0" fillId="11" borderId="78" xfId="1" applyNumberFormat="1" applyFont="1" applyFill="1" applyBorder="1"/>
    <xf numFmtId="0" fontId="0" fillId="11" borderId="64" xfId="0" applyFill="1" applyBorder="1"/>
    <xf numFmtId="10" fontId="0" fillId="11" borderId="0" xfId="1" applyNumberFormat="1" applyFont="1" applyFill="1" applyBorder="1"/>
    <xf numFmtId="165" fontId="0" fillId="11" borderId="0" xfId="1" applyNumberFormat="1" applyFont="1" applyFill="1" applyBorder="1"/>
    <xf numFmtId="165" fontId="0" fillId="11" borderId="50" xfId="1" applyNumberFormat="1" applyFont="1" applyFill="1" applyBorder="1"/>
    <xf numFmtId="0" fontId="0" fillId="11" borderId="71" xfId="0" applyFill="1" applyBorder="1"/>
    <xf numFmtId="0" fontId="0" fillId="11" borderId="72" xfId="0" applyFill="1" applyBorder="1"/>
    <xf numFmtId="10" fontId="0" fillId="11" borderId="109" xfId="1" applyNumberFormat="1" applyFont="1" applyFill="1" applyBorder="1"/>
    <xf numFmtId="0" fontId="12" fillId="11" borderId="77" xfId="0" applyFont="1" applyFill="1" applyBorder="1"/>
    <xf numFmtId="10" fontId="12" fillId="11" borderId="77" xfId="1" applyNumberFormat="1" applyFont="1" applyFill="1" applyBorder="1"/>
    <xf numFmtId="0" fontId="12" fillId="11" borderId="42" xfId="0" applyFont="1" applyFill="1" applyBorder="1"/>
    <xf numFmtId="10" fontId="12" fillId="11" borderId="45" xfId="1" applyNumberFormat="1" applyFont="1" applyFill="1" applyBorder="1"/>
    <xf numFmtId="165" fontId="12" fillId="11" borderId="77" xfId="1" applyNumberFormat="1" applyFont="1" applyFill="1" applyBorder="1"/>
    <xf numFmtId="165" fontId="12" fillId="11" borderId="46" xfId="1" applyNumberFormat="1" applyFont="1" applyFill="1" applyBorder="1"/>
    <xf numFmtId="3" fontId="0" fillId="11" borderId="57" xfId="0" applyNumberFormat="1" applyFill="1" applyBorder="1"/>
    <xf numFmtId="3" fontId="0" fillId="11" borderId="56" xfId="0" applyNumberFormat="1" applyFill="1" applyBorder="1"/>
    <xf numFmtId="3" fontId="0" fillId="11" borderId="0" xfId="0" applyNumberFormat="1" applyFill="1"/>
    <xf numFmtId="3" fontId="0" fillId="11" borderId="64" xfId="0" applyNumberFormat="1" applyFill="1" applyBorder="1"/>
    <xf numFmtId="3" fontId="0" fillId="11" borderId="72" xfId="0" applyNumberFormat="1" applyFill="1" applyBorder="1"/>
    <xf numFmtId="3" fontId="12" fillId="11" borderId="77" xfId="0" applyNumberFormat="1" applyFont="1" applyFill="1" applyBorder="1"/>
    <xf numFmtId="3" fontId="12" fillId="11" borderId="42" xfId="0" applyNumberFormat="1" applyFont="1" applyFill="1" applyBorder="1"/>
    <xf numFmtId="10" fontId="0" fillId="0" borderId="0" xfId="1" applyNumberFormat="1" applyFont="1" applyFill="1" applyBorder="1"/>
    <xf numFmtId="10" fontId="12" fillId="0" borderId="0" xfId="1" applyNumberFormat="1" applyFont="1" applyFill="1" applyBorder="1"/>
    <xf numFmtId="3" fontId="0" fillId="11" borderId="71" xfId="0" applyNumberFormat="1" applyFill="1" applyBorder="1"/>
    <xf numFmtId="9" fontId="12" fillId="10" borderId="106" xfId="0" applyNumberFormat="1" applyFont="1" applyFill="1" applyBorder="1" applyAlignment="1">
      <alignment vertical="center" wrapText="1"/>
    </xf>
    <xf numFmtId="3" fontId="0" fillId="12" borderId="56" xfId="0" applyNumberFormat="1" applyFill="1" applyBorder="1"/>
    <xf numFmtId="10" fontId="0" fillId="12" borderId="105" xfId="1" applyNumberFormat="1" applyFont="1" applyFill="1" applyBorder="1"/>
    <xf numFmtId="10" fontId="0" fillId="12" borderId="57" xfId="1" applyNumberFormat="1" applyFont="1" applyFill="1" applyBorder="1"/>
    <xf numFmtId="165" fontId="0" fillId="12" borderId="49" xfId="1" applyNumberFormat="1" applyFont="1" applyFill="1" applyBorder="1"/>
    <xf numFmtId="3" fontId="0" fillId="12" borderId="64" xfId="0" applyNumberFormat="1" applyFill="1" applyBorder="1"/>
    <xf numFmtId="10" fontId="0" fillId="12" borderId="78" xfId="1" applyNumberFormat="1" applyFont="1" applyFill="1" applyBorder="1"/>
    <xf numFmtId="3" fontId="0" fillId="12" borderId="71" xfId="0" applyNumberFormat="1" applyFill="1" applyBorder="1"/>
    <xf numFmtId="10" fontId="0" fillId="12" borderId="109" xfId="1" applyNumberFormat="1" applyFont="1" applyFill="1" applyBorder="1"/>
    <xf numFmtId="10" fontId="0" fillId="12" borderId="0" xfId="1" applyNumberFormat="1" applyFont="1" applyFill="1" applyBorder="1"/>
    <xf numFmtId="165" fontId="0" fillId="12" borderId="50" xfId="1" applyNumberFormat="1" applyFont="1" applyFill="1" applyBorder="1"/>
    <xf numFmtId="3" fontId="12" fillId="12" borderId="42" xfId="0" applyNumberFormat="1" applyFont="1" applyFill="1" applyBorder="1"/>
    <xf numFmtId="10" fontId="12" fillId="12" borderId="45" xfId="1" applyNumberFormat="1" applyFont="1" applyFill="1" applyBorder="1"/>
    <xf numFmtId="3" fontId="12" fillId="12" borderId="77" xfId="0" applyNumberFormat="1" applyFont="1" applyFill="1" applyBorder="1"/>
    <xf numFmtId="10" fontId="12" fillId="12" borderId="77" xfId="1" applyNumberFormat="1" applyFont="1" applyFill="1" applyBorder="1"/>
    <xf numFmtId="165" fontId="12" fillId="12" borderId="46" xfId="1" applyNumberFormat="1" applyFont="1" applyFill="1" applyBorder="1"/>
    <xf numFmtId="0" fontId="0" fillId="0" borderId="64" xfId="0" applyBorder="1"/>
    <xf numFmtId="0" fontId="12" fillId="0" borderId="64" xfId="0" applyFont="1" applyBorder="1"/>
    <xf numFmtId="10" fontId="12" fillId="10" borderId="77" xfId="0" applyNumberFormat="1" applyFont="1" applyFill="1" applyBorder="1"/>
    <xf numFmtId="10" fontId="12" fillId="10" borderId="49" xfId="0" applyNumberFormat="1" applyFont="1" applyFill="1" applyBorder="1" applyAlignment="1">
      <alignment vertical="center" wrapText="1"/>
    </xf>
    <xf numFmtId="0" fontId="0" fillId="13" borderId="56" xfId="0" applyFill="1" applyBorder="1"/>
    <xf numFmtId="10" fontId="0" fillId="13" borderId="105" xfId="1" applyNumberFormat="1" applyFont="1" applyFill="1" applyBorder="1"/>
    <xf numFmtId="0" fontId="0" fillId="13" borderId="0" xfId="0" applyFill="1"/>
    <xf numFmtId="0" fontId="0" fillId="13" borderId="57" xfId="0" applyFill="1" applyBorder="1"/>
    <xf numFmtId="10" fontId="0" fillId="13" borderId="57" xfId="1" applyNumberFormat="1" applyFont="1" applyFill="1" applyBorder="1"/>
    <xf numFmtId="165" fontId="0" fillId="13" borderId="56" xfId="1" applyNumberFormat="1" applyFont="1" applyFill="1" applyBorder="1"/>
    <xf numFmtId="165" fontId="0" fillId="13" borderId="49" xfId="1" applyNumberFormat="1" applyFont="1" applyFill="1" applyBorder="1"/>
    <xf numFmtId="0" fontId="0" fillId="13" borderId="64" xfId="0" applyFill="1" applyBorder="1"/>
    <xf numFmtId="10" fontId="0" fillId="13" borderId="78" xfId="1" applyNumberFormat="1" applyFont="1" applyFill="1" applyBorder="1"/>
    <xf numFmtId="10" fontId="0" fillId="13" borderId="0" xfId="1" applyNumberFormat="1" applyFont="1" applyFill="1" applyBorder="1"/>
    <xf numFmtId="165" fontId="0" fillId="13" borderId="0" xfId="1" applyNumberFormat="1" applyFont="1" applyFill="1" applyBorder="1"/>
    <xf numFmtId="165" fontId="0" fillId="13" borderId="50" xfId="1" applyNumberFormat="1" applyFont="1" applyFill="1" applyBorder="1"/>
    <xf numFmtId="0" fontId="0" fillId="13" borderId="71" xfId="0" applyFill="1" applyBorder="1"/>
    <xf numFmtId="0" fontId="0" fillId="13" borderId="72" xfId="0" applyFill="1" applyBorder="1"/>
    <xf numFmtId="10" fontId="0" fillId="13" borderId="109" xfId="1" applyNumberFormat="1" applyFont="1" applyFill="1" applyBorder="1"/>
    <xf numFmtId="0" fontId="12" fillId="13" borderId="42" xfId="0" applyFont="1" applyFill="1" applyBorder="1"/>
    <xf numFmtId="10" fontId="12" fillId="13" borderId="45" xfId="1" applyNumberFormat="1" applyFont="1" applyFill="1" applyBorder="1"/>
    <xf numFmtId="0" fontId="12" fillId="13" borderId="77" xfId="0" applyFont="1" applyFill="1" applyBorder="1"/>
    <xf numFmtId="10" fontId="12" fillId="13" borderId="77" xfId="1" applyNumberFormat="1" applyFont="1" applyFill="1" applyBorder="1"/>
    <xf numFmtId="165" fontId="12" fillId="13" borderId="77" xfId="1" applyNumberFormat="1" applyFont="1" applyFill="1" applyBorder="1"/>
    <xf numFmtId="165" fontId="12" fillId="13" borderId="46" xfId="1" applyNumberFormat="1" applyFont="1" applyFill="1" applyBorder="1"/>
    <xf numFmtId="3" fontId="0" fillId="13" borderId="56" xfId="0" applyNumberFormat="1" applyFill="1" applyBorder="1"/>
    <xf numFmtId="3" fontId="0" fillId="13" borderId="57" xfId="0" applyNumberFormat="1" applyFill="1" applyBorder="1"/>
    <xf numFmtId="3" fontId="0" fillId="13" borderId="64" xfId="0" applyNumberFormat="1" applyFill="1" applyBorder="1"/>
    <xf numFmtId="3" fontId="0" fillId="13" borderId="0" xfId="0" applyNumberFormat="1" applyFill="1"/>
    <xf numFmtId="3" fontId="0" fillId="13" borderId="71" xfId="0" applyNumberFormat="1" applyFill="1" applyBorder="1"/>
    <xf numFmtId="3" fontId="0" fillId="13" borderId="72" xfId="0" applyNumberFormat="1" applyFill="1" applyBorder="1"/>
    <xf numFmtId="3" fontId="12" fillId="13" borderId="42" xfId="0" applyNumberFormat="1" applyFont="1" applyFill="1" applyBorder="1"/>
    <xf numFmtId="3" fontId="12" fillId="13" borderId="77" xfId="0" applyNumberFormat="1" applyFont="1" applyFill="1" applyBorder="1"/>
    <xf numFmtId="3" fontId="0" fillId="14" borderId="56" xfId="0" applyNumberFormat="1" applyFill="1" applyBorder="1"/>
    <xf numFmtId="10" fontId="0" fillId="14" borderId="105" xfId="1" applyNumberFormat="1" applyFont="1" applyFill="1" applyBorder="1"/>
    <xf numFmtId="3" fontId="0" fillId="14" borderId="0" xfId="0" applyNumberFormat="1" applyFill="1"/>
    <xf numFmtId="3" fontId="0" fillId="14" borderId="57" xfId="0" applyNumberFormat="1" applyFill="1" applyBorder="1"/>
    <xf numFmtId="10" fontId="0" fillId="14" borderId="57" xfId="1" applyNumberFormat="1" applyFont="1" applyFill="1" applyBorder="1"/>
    <xf numFmtId="165" fontId="0" fillId="14" borderId="56" xfId="1" applyNumberFormat="1" applyFont="1" applyFill="1" applyBorder="1"/>
    <xf numFmtId="165" fontId="0" fillId="14" borderId="49" xfId="1" applyNumberFormat="1" applyFont="1" applyFill="1" applyBorder="1"/>
    <xf numFmtId="3" fontId="0" fillId="14" borderId="64" xfId="0" applyNumberFormat="1" applyFill="1" applyBorder="1"/>
    <xf numFmtId="10" fontId="0" fillId="14" borderId="78" xfId="1" applyNumberFormat="1" applyFont="1" applyFill="1" applyBorder="1"/>
    <xf numFmtId="10" fontId="0" fillId="14" borderId="0" xfId="1" applyNumberFormat="1" applyFont="1" applyFill="1" applyBorder="1"/>
    <xf numFmtId="165" fontId="0" fillId="14" borderId="0" xfId="1" applyNumberFormat="1" applyFont="1" applyFill="1" applyBorder="1"/>
    <xf numFmtId="165" fontId="0" fillId="14" borderId="50" xfId="1" applyNumberFormat="1" applyFont="1" applyFill="1" applyBorder="1"/>
    <xf numFmtId="3" fontId="0" fillId="14" borderId="71" xfId="0" applyNumberFormat="1" applyFill="1" applyBorder="1"/>
    <xf numFmtId="3" fontId="0" fillId="14" borderId="72" xfId="0" applyNumberFormat="1" applyFill="1" applyBorder="1"/>
    <xf numFmtId="10" fontId="0" fillId="14" borderId="109" xfId="1" applyNumberFormat="1" applyFont="1" applyFill="1" applyBorder="1"/>
    <xf numFmtId="3" fontId="12" fillId="14" borderId="42" xfId="0" applyNumberFormat="1" applyFont="1" applyFill="1" applyBorder="1"/>
    <xf numFmtId="10" fontId="12" fillId="14" borderId="45" xfId="1" applyNumberFormat="1" applyFont="1" applyFill="1" applyBorder="1"/>
    <xf numFmtId="3" fontId="12" fillId="14" borderId="77" xfId="0" applyNumberFormat="1" applyFont="1" applyFill="1" applyBorder="1"/>
    <xf numFmtId="10" fontId="12" fillId="14" borderId="77" xfId="1" applyNumberFormat="1" applyFont="1" applyFill="1" applyBorder="1"/>
    <xf numFmtId="165" fontId="12" fillId="14" borderId="77" xfId="1" applyNumberFormat="1" applyFont="1" applyFill="1" applyBorder="1"/>
    <xf numFmtId="165" fontId="12" fillId="14" borderId="46" xfId="1" applyNumberFormat="1" applyFont="1" applyFill="1" applyBorder="1"/>
    <xf numFmtId="0" fontId="8" fillId="0" borderId="10" xfId="5" applyFont="1" applyBorder="1" applyAlignment="1">
      <alignment horizontal="left" vertical="center"/>
    </xf>
    <xf numFmtId="0" fontId="8" fillId="0" borderId="39" xfId="5" applyFont="1" applyBorder="1" applyAlignment="1">
      <alignment horizontal="left" vertical="center"/>
    </xf>
    <xf numFmtId="3" fontId="8" fillId="0" borderId="13" xfId="5" applyNumberFormat="1" applyFont="1" applyBorder="1" applyAlignment="1">
      <alignment horizontal="right" vertical="center"/>
    </xf>
    <xf numFmtId="10" fontId="8" fillId="0" borderId="39" xfId="5" applyNumberFormat="1" applyFont="1" applyBorder="1" applyAlignment="1">
      <alignment horizontal="right" vertical="center"/>
    </xf>
    <xf numFmtId="167" fontId="8" fillId="0" borderId="13" xfId="5" applyNumberFormat="1" applyFont="1" applyBorder="1" applyAlignment="1">
      <alignment horizontal="right" vertical="center"/>
    </xf>
    <xf numFmtId="4" fontId="8" fillId="0" borderId="9" xfId="5" applyNumberFormat="1" applyFont="1" applyBorder="1" applyAlignment="1">
      <alignment horizontal="right" vertical="center"/>
    </xf>
    <xf numFmtId="3" fontId="8" fillId="0" borderId="10" xfId="1" applyNumberFormat="1" applyFont="1" applyBorder="1" applyAlignment="1">
      <alignment horizontal="right" vertical="center"/>
    </xf>
    <xf numFmtId="10" fontId="8" fillId="0" borderId="39" xfId="1" applyNumberFormat="1" applyFont="1" applyBorder="1" applyAlignment="1">
      <alignment horizontal="right" vertical="center"/>
    </xf>
    <xf numFmtId="3" fontId="8" fillId="0" borderId="13" xfId="1" applyNumberFormat="1" applyFont="1" applyBorder="1" applyAlignment="1">
      <alignment horizontal="right" vertical="center"/>
    </xf>
    <xf numFmtId="10" fontId="8" fillId="0" borderId="13" xfId="1" applyNumberFormat="1" applyFont="1" applyBorder="1" applyAlignment="1">
      <alignment horizontal="right" vertical="center"/>
    </xf>
    <xf numFmtId="3" fontId="8" fillId="0" borderId="39" xfId="1" applyNumberFormat="1" applyFont="1" applyBorder="1" applyAlignment="1">
      <alignment horizontal="right" vertical="center"/>
    </xf>
    <xf numFmtId="3" fontId="8" fillId="0" borderId="20" xfId="5" applyNumberFormat="1" applyFont="1" applyBorder="1" applyAlignment="1">
      <alignment horizontal="right" vertical="center"/>
    </xf>
    <xf numFmtId="10" fontId="8" fillId="0" borderId="40" xfId="5" applyNumberFormat="1" applyFont="1" applyBorder="1" applyAlignment="1">
      <alignment horizontal="right" vertical="center"/>
    </xf>
    <xf numFmtId="167" fontId="8" fillId="0" borderId="20" xfId="5" applyNumberFormat="1" applyFont="1" applyBorder="1" applyAlignment="1">
      <alignment horizontal="right" vertical="center"/>
    </xf>
    <xf numFmtId="4" fontId="8" fillId="0" borderId="16" xfId="5" applyNumberFormat="1" applyFont="1" applyBorder="1" applyAlignment="1">
      <alignment horizontal="right" vertical="center"/>
    </xf>
    <xf numFmtId="3" fontId="8" fillId="0" borderId="14" xfId="1" applyNumberFormat="1" applyFont="1" applyBorder="1" applyAlignment="1">
      <alignment horizontal="right" vertical="center"/>
    </xf>
    <xf numFmtId="10" fontId="8" fillId="0" borderId="40" xfId="1" applyNumberFormat="1" applyFont="1" applyBorder="1" applyAlignment="1">
      <alignment horizontal="right" vertical="center"/>
    </xf>
    <xf numFmtId="3" fontId="8" fillId="0" borderId="20" xfId="1" applyNumberFormat="1" applyFont="1" applyBorder="1" applyAlignment="1">
      <alignment horizontal="right" vertical="center"/>
    </xf>
    <xf numFmtId="10" fontId="8" fillId="0" borderId="20" xfId="1" applyNumberFormat="1" applyFont="1" applyBorder="1" applyAlignment="1">
      <alignment horizontal="right" vertical="center"/>
    </xf>
    <xf numFmtId="3" fontId="8" fillId="0" borderId="40" xfId="1" applyNumberFormat="1" applyFont="1" applyBorder="1" applyAlignment="1">
      <alignment horizontal="right" vertical="center"/>
    </xf>
    <xf numFmtId="0" fontId="8" fillId="0" borderId="23" xfId="5" applyFont="1" applyBorder="1" applyAlignment="1">
      <alignment horizontal="left" vertical="center"/>
    </xf>
    <xf numFmtId="3" fontId="8" fillId="0" borderId="33" xfId="5" applyNumberFormat="1" applyFont="1" applyBorder="1" applyAlignment="1">
      <alignment horizontal="right" vertical="center"/>
    </xf>
    <xf numFmtId="10" fontId="8" fillId="0" borderId="48" xfId="5" applyNumberFormat="1" applyFont="1" applyBorder="1" applyAlignment="1">
      <alignment horizontal="right" vertical="center"/>
    </xf>
    <xf numFmtId="167" fontId="8" fillId="0" borderId="22" xfId="5" applyNumberFormat="1" applyFont="1" applyBorder="1" applyAlignment="1">
      <alignment horizontal="right" vertical="center"/>
    </xf>
    <xf numFmtId="4" fontId="8" fillId="0" borderId="36" xfId="5" applyNumberFormat="1" applyFont="1" applyBorder="1" applyAlignment="1">
      <alignment horizontal="right" vertical="center"/>
    </xf>
    <xf numFmtId="3" fontId="8" fillId="0" borderId="34" xfId="1" applyNumberFormat="1" applyFont="1" applyBorder="1" applyAlignment="1">
      <alignment horizontal="right" vertical="center"/>
    </xf>
    <xf numFmtId="10" fontId="8" fillId="0" borderId="48" xfId="1" applyNumberFormat="1" applyFont="1" applyBorder="1" applyAlignment="1">
      <alignment horizontal="right" vertical="center"/>
    </xf>
    <xf numFmtId="3" fontId="8" fillId="0" borderId="33" xfId="1" applyNumberFormat="1" applyFont="1" applyBorder="1" applyAlignment="1">
      <alignment horizontal="right" vertical="center"/>
    </xf>
    <xf numFmtId="10" fontId="8" fillId="0" borderId="22" xfId="1" applyNumberFormat="1" applyFont="1" applyBorder="1" applyAlignment="1">
      <alignment horizontal="right" vertical="center"/>
    </xf>
    <xf numFmtId="3" fontId="8" fillId="0" borderId="48" xfId="1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/>
    </xf>
    <xf numFmtId="10" fontId="7" fillId="0" borderId="45" xfId="0" applyNumberFormat="1" applyFont="1" applyBorder="1" applyAlignment="1">
      <alignment horizontal="right"/>
    </xf>
    <xf numFmtId="167" fontId="7" fillId="0" borderId="42" xfId="0" applyNumberFormat="1" applyFont="1" applyBorder="1" applyAlignment="1">
      <alignment horizontal="right"/>
    </xf>
    <xf numFmtId="4" fontId="7" fillId="0" borderId="2" xfId="0" applyNumberFormat="1" applyFont="1" applyBorder="1" applyAlignment="1">
      <alignment horizontal="right"/>
    </xf>
    <xf numFmtId="3" fontId="7" fillId="0" borderId="2" xfId="1" applyNumberFormat="1" applyFont="1" applyBorder="1" applyAlignment="1">
      <alignment horizontal="right"/>
    </xf>
    <xf numFmtId="10" fontId="7" fillId="0" borderId="45" xfId="1" applyNumberFormat="1" applyFont="1" applyBorder="1" applyAlignment="1">
      <alignment horizontal="right"/>
    </xf>
    <xf numFmtId="3" fontId="7" fillId="0" borderId="1" xfId="1" applyNumberFormat="1" applyFont="1" applyBorder="1" applyAlignment="1">
      <alignment horizontal="right"/>
    </xf>
    <xf numFmtId="10" fontId="7" fillId="0" borderId="42" xfId="1" applyNumberFormat="1" applyFont="1" applyBorder="1" applyAlignment="1">
      <alignment horizontal="right"/>
    </xf>
    <xf numFmtId="3" fontId="7" fillId="0" borderId="4" xfId="1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0" fontId="7" fillId="0" borderId="0" xfId="0" applyNumberFormat="1" applyFont="1" applyAlignment="1">
      <alignment horizontal="right"/>
    </xf>
    <xf numFmtId="167" fontId="7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3" fontId="7" fillId="0" borderId="0" xfId="1" applyNumberFormat="1" applyFont="1" applyBorder="1" applyAlignment="1">
      <alignment horizontal="right"/>
    </xf>
    <xf numFmtId="10" fontId="7" fillId="0" borderId="0" xfId="1" applyNumberFormat="1" applyFont="1" applyBorder="1" applyAlignment="1">
      <alignment horizontal="right"/>
    </xf>
    <xf numFmtId="0" fontId="8" fillId="0" borderId="0" xfId="5" applyFont="1" applyAlignment="1">
      <alignment horizontal="left" vertical="center"/>
    </xf>
    <xf numFmtId="0" fontId="0" fillId="0" borderId="118" xfId="0" applyBorder="1" applyAlignment="1">
      <alignment horizontal="center" vertical="center" wrapText="1"/>
    </xf>
    <xf numFmtId="10" fontId="0" fillId="0" borderId="106" xfId="1" applyNumberFormat="1" applyFont="1" applyBorder="1" applyAlignment="1">
      <alignment horizontal="right" indent="1"/>
    </xf>
    <xf numFmtId="3" fontId="0" fillId="0" borderId="106" xfId="1" applyNumberFormat="1" applyFont="1" applyBorder="1" applyAlignment="1">
      <alignment horizontal="right" indent="1"/>
    </xf>
    <xf numFmtId="10" fontId="0" fillId="0" borderId="113" xfId="1" applyNumberFormat="1" applyFont="1" applyBorder="1" applyAlignment="1">
      <alignment horizontal="right" indent="1"/>
    </xf>
    <xf numFmtId="3" fontId="0" fillId="0" borderId="113" xfId="1" applyNumberFormat="1" applyFont="1" applyBorder="1" applyAlignment="1">
      <alignment horizontal="right" indent="1"/>
    </xf>
    <xf numFmtId="10" fontId="0" fillId="0" borderId="116" xfId="1" applyNumberFormat="1" applyFont="1" applyBorder="1" applyAlignment="1">
      <alignment horizontal="right" indent="1"/>
    </xf>
    <xf numFmtId="3" fontId="0" fillId="0" borderId="116" xfId="1" applyNumberFormat="1" applyFont="1" applyBorder="1" applyAlignment="1">
      <alignment horizontal="right" indent="1"/>
    </xf>
    <xf numFmtId="10" fontId="0" fillId="0" borderId="108" xfId="1" applyNumberFormat="1" applyFont="1" applyBorder="1" applyAlignment="1">
      <alignment horizontal="right" indent="1"/>
    </xf>
    <xf numFmtId="3" fontId="0" fillId="0" borderId="108" xfId="1" applyNumberFormat="1" applyFont="1" applyBorder="1" applyAlignment="1">
      <alignment horizontal="right" indent="1"/>
    </xf>
    <xf numFmtId="10" fontId="12" fillId="0" borderId="51" xfId="1" applyNumberFormat="1" applyFont="1" applyBorder="1" applyAlignment="1">
      <alignment horizontal="right" indent="1"/>
    </xf>
    <xf numFmtId="3" fontId="12" fillId="0" borderId="51" xfId="1" applyNumberFormat="1" applyFont="1" applyBorder="1" applyAlignment="1">
      <alignment horizontal="right" indent="1"/>
    </xf>
    <xf numFmtId="10" fontId="12" fillId="0" borderId="0" xfId="1" applyNumberFormat="1" applyFont="1" applyBorder="1" applyAlignment="1">
      <alignment horizontal="right" indent="1"/>
    </xf>
    <xf numFmtId="10" fontId="1" fillId="0" borderId="0" xfId="1" applyNumberFormat="1" applyFont="1" applyBorder="1" applyAlignment="1">
      <alignment horizontal="right"/>
    </xf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3" fontId="5" fillId="0" borderId="14" xfId="10" applyNumberFormat="1" applyFont="1" applyBorder="1" applyAlignment="1">
      <alignment vertical="center"/>
    </xf>
    <xf numFmtId="4" fontId="0" fillId="0" borderId="0" xfId="1" applyNumberFormat="1" applyFont="1" applyFill="1" applyBorder="1" applyAlignment="1">
      <alignment horizontal="right" indent="1"/>
    </xf>
    <xf numFmtId="10" fontId="8" fillId="0" borderId="98" xfId="1" applyNumberFormat="1" applyFont="1" applyBorder="1" applyAlignment="1">
      <alignment horizontal="right" vertical="center" wrapText="1" indent="1"/>
    </xf>
    <xf numFmtId="10" fontId="8" fillId="0" borderId="102" xfId="1" applyNumberFormat="1" applyFont="1" applyBorder="1" applyAlignment="1">
      <alignment horizontal="right" vertical="center" wrapText="1" indent="1"/>
    </xf>
    <xf numFmtId="10" fontId="5" fillId="0" borderId="41" xfId="1" applyNumberFormat="1" applyFont="1" applyBorder="1" applyAlignment="1">
      <alignment horizontal="right" vertical="center" indent="1"/>
    </xf>
    <xf numFmtId="3" fontId="8" fillId="0" borderId="0" xfId="5" applyNumberFormat="1" applyFont="1" applyAlignment="1">
      <alignment horizontal="right" vertical="center"/>
    </xf>
    <xf numFmtId="165" fontId="0" fillId="0" borderId="0" xfId="0" applyNumberFormat="1"/>
    <xf numFmtId="0" fontId="0" fillId="11" borderId="71" xfId="0" applyFill="1" applyBorder="1" applyAlignment="1">
      <alignment horizontal="center" vertical="center" wrapText="1"/>
    </xf>
    <xf numFmtId="0" fontId="8" fillId="11" borderId="51" xfId="5" applyFont="1" applyFill="1" applyBorder="1" applyAlignment="1">
      <alignment horizontal="left" vertical="center" wrapText="1"/>
    </xf>
    <xf numFmtId="3" fontId="0" fillId="11" borderId="72" xfId="0" applyNumberFormat="1" applyFill="1" applyBorder="1" applyAlignment="1">
      <alignment wrapText="1"/>
    </xf>
    <xf numFmtId="3" fontId="0" fillId="11" borderId="0" xfId="0" applyNumberFormat="1" applyFill="1" applyAlignment="1">
      <alignment wrapText="1"/>
    </xf>
    <xf numFmtId="10" fontId="0" fillId="11" borderId="109" xfId="1" applyNumberFormat="1" applyFont="1" applyFill="1" applyBorder="1" applyAlignment="1">
      <alignment wrapText="1"/>
    </xf>
    <xf numFmtId="3" fontId="0" fillId="11" borderId="64" xfId="0" applyNumberFormat="1" applyFill="1" applyBorder="1" applyAlignment="1">
      <alignment wrapText="1"/>
    </xf>
    <xf numFmtId="10" fontId="0" fillId="11" borderId="78" xfId="1" applyNumberFormat="1" applyFont="1" applyFill="1" applyBorder="1" applyAlignment="1">
      <alignment wrapText="1"/>
    </xf>
    <xf numFmtId="10" fontId="0" fillId="11" borderId="0" xfId="1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0" fillId="13" borderId="50" xfId="0" applyFill="1" applyBorder="1" applyAlignment="1">
      <alignment horizontal="left" vertical="center" indent="1"/>
    </xf>
    <xf numFmtId="0" fontId="8" fillId="13" borderId="50" xfId="5" applyFont="1" applyFill="1" applyBorder="1" applyAlignment="1">
      <alignment horizontal="left" vertical="center" indent="1"/>
    </xf>
    <xf numFmtId="10" fontId="0" fillId="13" borderId="78" xfId="1" applyNumberFormat="1" applyFont="1" applyFill="1" applyBorder="1" applyAlignment="1"/>
    <xf numFmtId="10" fontId="0" fillId="13" borderId="0" xfId="1" applyNumberFormat="1" applyFont="1" applyFill="1" applyBorder="1" applyAlignment="1"/>
    <xf numFmtId="0" fontId="8" fillId="0" borderId="19" xfId="5" applyFont="1" applyBorder="1" applyAlignment="1">
      <alignment vertical="center" wrapText="1"/>
    </xf>
    <xf numFmtId="0" fontId="8" fillId="0" borderId="19" xfId="5" applyFont="1" applyBorder="1" applyAlignment="1">
      <alignment horizontal="left" vertical="center" wrapText="1"/>
    </xf>
    <xf numFmtId="0" fontId="62" fillId="0" borderId="0" xfId="0" applyFont="1"/>
    <xf numFmtId="176" fontId="0" fillId="0" borderId="0" xfId="0" applyNumberFormat="1"/>
    <xf numFmtId="0" fontId="8" fillId="0" borderId="0" xfId="0" applyFont="1" applyAlignment="1">
      <alignment horizontal="left" wrapText="1"/>
    </xf>
    <xf numFmtId="0" fontId="5" fillId="0" borderId="14" xfId="10" applyFont="1" applyBorder="1" applyAlignment="1">
      <alignment horizontal="left" vertical="center"/>
    </xf>
    <xf numFmtId="0" fontId="6" fillId="0" borderId="0" xfId="10" applyFont="1" applyAlignment="1">
      <alignment horizontal="left" vertical="center"/>
    </xf>
    <xf numFmtId="0" fontId="14" fillId="6" borderId="3" xfId="10" applyFont="1" applyFill="1" applyBorder="1" applyAlignment="1">
      <alignment horizontal="left" vertical="center"/>
    </xf>
    <xf numFmtId="0" fontId="14" fillId="6" borderId="77" xfId="10" applyFont="1" applyFill="1" applyBorder="1" applyAlignment="1">
      <alignment horizontal="left" vertical="center"/>
    </xf>
    <xf numFmtId="0" fontId="17" fillId="0" borderId="21" xfId="10" applyFont="1" applyBorder="1" applyAlignment="1">
      <alignment horizontal="left" vertical="center"/>
    </xf>
    <xf numFmtId="0" fontId="17" fillId="0" borderId="54" xfId="10" applyFont="1" applyBorder="1" applyAlignment="1">
      <alignment horizontal="left" vertical="center"/>
    </xf>
    <xf numFmtId="0" fontId="17" fillId="0" borderId="16" xfId="10" applyFont="1" applyBorder="1" applyAlignment="1">
      <alignment horizontal="left" vertical="center"/>
    </xf>
    <xf numFmtId="0" fontId="6" fillId="0" borderId="11" xfId="10" applyFont="1" applyBorder="1" applyAlignment="1">
      <alignment horizontal="left" vertical="center"/>
    </xf>
    <xf numFmtId="0" fontId="6" fillId="0" borderId="8" xfId="10" applyFont="1" applyBorder="1" applyAlignment="1">
      <alignment horizontal="left" vertical="center"/>
    </xf>
    <xf numFmtId="0" fontId="6" fillId="0" borderId="21" xfId="10" applyFont="1" applyBorder="1" applyAlignment="1">
      <alignment horizontal="left" vertical="center"/>
    </xf>
    <xf numFmtId="0" fontId="6" fillId="0" borderId="54" xfId="10" applyFont="1" applyBorder="1" applyAlignment="1">
      <alignment horizontal="left" vertical="center"/>
    </xf>
    <xf numFmtId="0" fontId="6" fillId="0" borderId="24" xfId="10" applyFont="1" applyBorder="1" applyAlignment="1">
      <alignment horizontal="left" vertical="center"/>
    </xf>
    <xf numFmtId="0" fontId="6" fillId="0" borderId="84" xfId="10" applyFont="1" applyBorder="1" applyAlignment="1">
      <alignment horizontal="left" vertical="center"/>
    </xf>
    <xf numFmtId="0" fontId="23" fillId="6" borderId="3" xfId="10" applyFont="1" applyFill="1" applyBorder="1" applyAlignment="1">
      <alignment horizontal="left" vertical="center"/>
    </xf>
    <xf numFmtId="0" fontId="23" fillId="6" borderId="77" xfId="10" applyFont="1" applyFill="1" applyBorder="1" applyAlignment="1">
      <alignment horizontal="left" vertical="center"/>
    </xf>
    <xf numFmtId="0" fontId="23" fillId="6" borderId="32" xfId="10" applyFont="1" applyFill="1" applyBorder="1" applyAlignment="1">
      <alignment horizontal="left" vertical="center"/>
    </xf>
    <xf numFmtId="0" fontId="23" fillId="6" borderId="72" xfId="10" applyFont="1" applyFill="1" applyBorder="1" applyAlignment="1">
      <alignment horizontal="left" vertical="center"/>
    </xf>
    <xf numFmtId="0" fontId="30" fillId="0" borderId="21" xfId="10" applyFont="1" applyBorder="1" applyAlignment="1">
      <alignment horizontal="left" vertical="center"/>
    </xf>
    <xf numFmtId="0" fontId="30" fillId="0" borderId="54" xfId="10" applyFont="1" applyBorder="1" applyAlignment="1">
      <alignment horizontal="left" vertical="center"/>
    </xf>
    <xf numFmtId="0" fontId="30" fillId="0" borderId="16" xfId="10" applyFont="1" applyBorder="1" applyAlignment="1">
      <alignment horizontal="left" vertical="center"/>
    </xf>
    <xf numFmtId="10" fontId="18" fillId="0" borderId="58" xfId="10" applyNumberFormat="1" applyFont="1" applyBorder="1" applyAlignment="1">
      <alignment horizontal="center" vertical="center" wrapText="1"/>
    </xf>
    <xf numFmtId="10" fontId="18" fillId="0" borderId="65" xfId="10" applyNumberFormat="1" applyFont="1" applyBorder="1" applyAlignment="1">
      <alignment horizontal="center" vertical="center" wrapText="1"/>
    </xf>
    <xf numFmtId="10" fontId="18" fillId="0" borderId="29" xfId="10" applyNumberFormat="1" applyFont="1" applyBorder="1" applyAlignment="1">
      <alignment horizontal="center" vertical="center" wrapText="1"/>
    </xf>
    <xf numFmtId="49" fontId="18" fillId="0" borderId="15" xfId="10" applyNumberFormat="1" applyFont="1" applyBorder="1" applyAlignment="1">
      <alignment horizontal="center" vertical="center" wrapText="1"/>
    </xf>
    <xf numFmtId="49" fontId="18" fillId="0" borderId="19" xfId="10" applyNumberFormat="1" applyFont="1" applyBorder="1" applyAlignment="1">
      <alignment horizontal="center" vertical="center" wrapText="1"/>
    </xf>
    <xf numFmtId="49" fontId="18" fillId="0" borderId="26" xfId="10" applyNumberFormat="1" applyFont="1" applyBorder="1" applyAlignment="1">
      <alignment horizontal="center" vertical="center" wrapText="1"/>
    </xf>
    <xf numFmtId="1" fontId="5" fillId="0" borderId="3" xfId="10" applyNumberFormat="1" applyFont="1" applyBorder="1" applyAlignment="1">
      <alignment horizontal="center" vertical="center"/>
    </xf>
    <xf numFmtId="1" fontId="5" fillId="0" borderId="77" xfId="10" applyNumberFormat="1" applyFont="1" applyBorder="1" applyAlignment="1">
      <alignment horizontal="center" vertical="center"/>
    </xf>
    <xf numFmtId="0" fontId="6" fillId="6" borderId="11" xfId="10" applyFont="1" applyFill="1" applyBorder="1" applyAlignment="1">
      <alignment horizontal="left" vertical="center"/>
    </xf>
    <xf numFmtId="0" fontId="6" fillId="6" borderId="8" xfId="10" applyFont="1" applyFill="1" applyBorder="1" applyAlignment="1">
      <alignment horizontal="left" vertical="center"/>
    </xf>
    <xf numFmtId="0" fontId="6" fillId="0" borderId="35" xfId="10" applyFont="1" applyBorder="1" applyAlignment="1">
      <alignment horizontal="left" vertical="center"/>
    </xf>
    <xf numFmtId="0" fontId="6" fillId="0" borderId="81" xfId="10" applyFont="1" applyBorder="1" applyAlignment="1">
      <alignment horizontal="left" vertical="center"/>
    </xf>
    <xf numFmtId="49" fontId="18" fillId="0" borderId="6" xfId="10" applyNumberFormat="1" applyFont="1" applyBorder="1" applyAlignment="1">
      <alignment horizontal="center" vertical="center" wrapText="1"/>
    </xf>
    <xf numFmtId="49" fontId="18" fillId="0" borderId="28" xfId="10" applyNumberFormat="1" applyFont="1" applyBorder="1" applyAlignment="1">
      <alignment horizontal="center" vertical="center" wrapText="1"/>
    </xf>
    <xf numFmtId="49" fontId="18" fillId="0" borderId="31" xfId="10" applyNumberFormat="1" applyFont="1" applyBorder="1" applyAlignment="1">
      <alignment horizontal="center" vertical="center" wrapText="1"/>
    </xf>
    <xf numFmtId="49" fontId="7" fillId="7" borderId="62" xfId="10" applyNumberFormat="1" applyFont="1" applyFill="1" applyBorder="1" applyAlignment="1">
      <alignment horizontal="center" vertical="center" wrapText="1"/>
    </xf>
    <xf numFmtId="49" fontId="7" fillId="7" borderId="70" xfId="10" applyNumberFormat="1" applyFont="1" applyFill="1" applyBorder="1" applyAlignment="1">
      <alignment horizontal="center" vertical="center" wrapText="1"/>
    </xf>
    <xf numFmtId="49" fontId="7" fillId="7" borderId="76" xfId="10" applyNumberFormat="1" applyFont="1" applyFill="1" applyBorder="1" applyAlignment="1">
      <alignment horizontal="center" vertical="center" wrapText="1"/>
    </xf>
    <xf numFmtId="10" fontId="18" fillId="0" borderId="52" xfId="10" applyNumberFormat="1" applyFont="1" applyBorder="1" applyAlignment="1">
      <alignment horizontal="center" vertical="center" wrapText="1"/>
    </xf>
    <xf numFmtId="10" fontId="18" fillId="0" borderId="66" xfId="10" applyNumberFormat="1" applyFont="1" applyBorder="1" applyAlignment="1">
      <alignment horizontal="center" vertical="center" wrapText="1"/>
    </xf>
    <xf numFmtId="10" fontId="18" fillId="0" borderId="30" xfId="10" applyNumberFormat="1" applyFont="1" applyBorder="1" applyAlignment="1">
      <alignment horizontal="center" vertical="center" wrapText="1"/>
    </xf>
    <xf numFmtId="49" fontId="18" fillId="0" borderId="59" xfId="10" applyNumberFormat="1" applyFont="1" applyBorder="1" applyAlignment="1">
      <alignment horizontal="center" vertical="center" wrapText="1"/>
    </xf>
    <xf numFmtId="49" fontId="18" fillId="0" borderId="67" xfId="10" applyNumberFormat="1" applyFont="1" applyBorder="1" applyAlignment="1">
      <alignment horizontal="center" vertical="center" wrapText="1"/>
    </xf>
    <xf numFmtId="49" fontId="18" fillId="0" borderId="73" xfId="10" applyNumberFormat="1" applyFont="1" applyBorder="1" applyAlignment="1">
      <alignment horizontal="center" vertical="center" wrapText="1"/>
    </xf>
    <xf numFmtId="49" fontId="7" fillId="8" borderId="60" xfId="10" applyNumberFormat="1" applyFont="1" applyFill="1" applyBorder="1" applyAlignment="1">
      <alignment horizontal="center" vertical="center" wrapText="1"/>
    </xf>
    <xf numFmtId="49" fontId="7" fillId="8" borderId="68" xfId="10" applyNumberFormat="1" applyFont="1" applyFill="1" applyBorder="1" applyAlignment="1">
      <alignment horizontal="center" vertical="center" wrapText="1"/>
    </xf>
    <xf numFmtId="49" fontId="7" fillId="8" borderId="74" xfId="10" applyNumberFormat="1" applyFont="1" applyFill="1" applyBorder="1" applyAlignment="1">
      <alignment horizontal="center" vertical="center" wrapText="1"/>
    </xf>
    <xf numFmtId="10" fontId="18" fillId="0" borderId="61" xfId="10" applyNumberFormat="1" applyFont="1" applyBorder="1" applyAlignment="1">
      <alignment horizontal="center" vertical="center" wrapText="1"/>
    </xf>
    <xf numFmtId="10" fontId="18" fillId="0" borderId="69" xfId="10" applyNumberFormat="1" applyFont="1" applyBorder="1" applyAlignment="1">
      <alignment horizontal="center" vertical="center" wrapText="1"/>
    </xf>
    <xf numFmtId="10" fontId="18" fillId="0" borderId="75" xfId="10" applyNumberFormat="1" applyFont="1" applyBorder="1" applyAlignment="1">
      <alignment horizontal="center" vertical="center" wrapText="1"/>
    </xf>
    <xf numFmtId="0" fontId="5" fillId="6" borderId="22" xfId="11" applyFont="1" applyFill="1" applyBorder="1" applyAlignment="1">
      <alignment horizontal="left" vertical="center" wrapText="1"/>
    </xf>
    <xf numFmtId="0" fontId="5" fillId="6" borderId="23" xfId="11" applyFont="1" applyFill="1" applyBorder="1" applyAlignment="1">
      <alignment horizontal="left" vertical="center" wrapText="1"/>
    </xf>
    <xf numFmtId="0" fontId="5" fillId="6" borderId="20" xfId="10" applyFont="1" applyFill="1" applyBorder="1" applyAlignment="1">
      <alignment horizontal="left" vertical="center" wrapText="1"/>
    </xf>
    <xf numFmtId="0" fontId="5" fillId="6" borderId="14" xfId="10" applyFont="1" applyFill="1" applyBorder="1" applyAlignment="1">
      <alignment horizontal="left" vertical="center" wrapText="1"/>
    </xf>
    <xf numFmtId="0" fontId="6" fillId="6" borderId="0" xfId="10" applyFont="1" applyFill="1" applyAlignment="1">
      <alignment horizontal="center" vertical="center"/>
    </xf>
    <xf numFmtId="0" fontId="5" fillId="6" borderId="22" xfId="10" applyFont="1" applyFill="1" applyBorder="1" applyAlignment="1">
      <alignment horizontal="left" vertical="center" wrapText="1"/>
    </xf>
    <xf numFmtId="0" fontId="5" fillId="6" borderId="23" xfId="10" applyFont="1" applyFill="1" applyBorder="1" applyAlignment="1">
      <alignment horizontal="left" vertical="center" wrapText="1"/>
    </xf>
    <xf numFmtId="0" fontId="17" fillId="6" borderId="0" xfId="10" applyFont="1" applyFill="1" applyAlignment="1">
      <alignment horizontal="left" vertical="center"/>
    </xf>
    <xf numFmtId="0" fontId="5" fillId="0" borderId="5" xfId="10" applyFont="1" applyBorder="1" applyAlignment="1">
      <alignment horizontal="center" vertical="center" textRotation="90" wrapText="1"/>
    </xf>
    <xf numFmtId="0" fontId="5" fillId="0" borderId="27" xfId="10" applyFont="1" applyBorder="1" applyAlignment="1">
      <alignment horizontal="center" vertical="center" textRotation="90" wrapText="1"/>
    </xf>
    <xf numFmtId="0" fontId="5" fillId="0" borderId="55" xfId="10" applyFont="1" applyBorder="1" applyAlignment="1">
      <alignment horizontal="center" vertical="center" textRotation="90" wrapText="1"/>
    </xf>
    <xf numFmtId="0" fontId="5" fillId="0" borderId="63" xfId="10" applyFont="1" applyBorder="1" applyAlignment="1">
      <alignment horizontal="center" vertical="center" textRotation="90" wrapText="1"/>
    </xf>
    <xf numFmtId="0" fontId="5" fillId="0" borderId="56" xfId="10" applyFont="1" applyBorder="1" applyAlignment="1">
      <alignment horizontal="center" vertical="center" wrapText="1"/>
    </xf>
    <xf numFmtId="0" fontId="5" fillId="0" borderId="57" xfId="10" applyFont="1" applyBorder="1" applyAlignment="1">
      <alignment horizontal="center" vertical="center" wrapText="1"/>
    </xf>
    <xf numFmtId="0" fontId="5" fillId="0" borderId="58" xfId="10" applyFont="1" applyBorder="1" applyAlignment="1">
      <alignment horizontal="center" vertical="center" wrapText="1"/>
    </xf>
    <xf numFmtId="0" fontId="5" fillId="0" borderId="64" xfId="10" applyFont="1" applyBorder="1" applyAlignment="1">
      <alignment horizontal="center" vertical="center" wrapText="1"/>
    </xf>
    <xf numFmtId="0" fontId="5" fillId="0" borderId="0" xfId="10" applyFont="1" applyAlignment="1">
      <alignment horizontal="center" vertical="center" wrapText="1"/>
    </xf>
    <xf numFmtId="0" fontId="5" fillId="0" borderId="65" xfId="10" applyFont="1" applyBorder="1" applyAlignment="1">
      <alignment horizontal="center" vertical="center" wrapText="1"/>
    </xf>
    <xf numFmtId="0" fontId="5" fillId="0" borderId="71" xfId="10" applyFont="1" applyBorder="1" applyAlignment="1">
      <alignment horizontal="center" vertical="center" wrapText="1"/>
    </xf>
    <xf numFmtId="0" fontId="5" fillId="0" borderId="72" xfId="10" applyFont="1" applyBorder="1" applyAlignment="1">
      <alignment horizontal="center" vertical="center" wrapText="1"/>
    </xf>
    <xf numFmtId="0" fontId="5" fillId="0" borderId="29" xfId="10" applyFont="1" applyBorder="1" applyAlignment="1">
      <alignment horizontal="center" vertical="center" wrapText="1"/>
    </xf>
    <xf numFmtId="49" fontId="5" fillId="0" borderId="10" xfId="10" applyNumberFormat="1" applyFont="1" applyBorder="1" applyAlignment="1">
      <alignment horizontal="center" vertical="center" wrapText="1"/>
    </xf>
    <xf numFmtId="49" fontId="5" fillId="0" borderId="14" xfId="10" applyNumberFormat="1" applyFont="1" applyBorder="1" applyAlignment="1">
      <alignment horizontal="center" vertical="center" wrapText="1"/>
    </xf>
    <xf numFmtId="49" fontId="5" fillId="0" borderId="23" xfId="10" applyNumberFormat="1" applyFont="1" applyBorder="1" applyAlignment="1">
      <alignment horizontal="center" vertical="center" wrapText="1"/>
    </xf>
    <xf numFmtId="0" fontId="3" fillId="6" borderId="0" xfId="10" applyFont="1" applyFill="1" applyAlignment="1">
      <alignment horizontal="center" vertical="center" wrapText="1"/>
    </xf>
    <xf numFmtId="0" fontId="5" fillId="6" borderId="53" xfId="11" applyFont="1" applyFill="1" applyBorder="1" applyAlignment="1">
      <alignment horizontal="left" vertical="center" wrapText="1"/>
    </xf>
    <xf numFmtId="0" fontId="5" fillId="6" borderId="54" xfId="11" applyFont="1" applyFill="1" applyBorder="1" applyAlignment="1">
      <alignment horizontal="left" vertical="center" wrapText="1"/>
    </xf>
    <xf numFmtId="0" fontId="5" fillId="6" borderId="16" xfId="11" applyFont="1" applyFill="1" applyBorder="1" applyAlignment="1">
      <alignment horizontal="left" vertical="center" wrapText="1"/>
    </xf>
    <xf numFmtId="0" fontId="14" fillId="6" borderId="1" xfId="10" applyFont="1" applyFill="1" applyBorder="1" applyAlignment="1">
      <alignment horizontal="center" vertical="center"/>
    </xf>
    <xf numFmtId="0" fontId="14" fillId="6" borderId="2" xfId="10" applyFont="1" applyFill="1" applyBorder="1" applyAlignment="1">
      <alignment horizontal="center" vertical="center"/>
    </xf>
    <xf numFmtId="0" fontId="14" fillId="6" borderId="5" xfId="10" applyFont="1" applyFill="1" applyBorder="1" applyAlignment="1">
      <alignment horizontal="center" vertical="center"/>
    </xf>
    <xf numFmtId="0" fontId="14" fillId="6" borderId="52" xfId="10" applyFont="1" applyFill="1" applyBorder="1" applyAlignment="1">
      <alignment horizontal="center" vertical="center"/>
    </xf>
    <xf numFmtId="0" fontId="5" fillId="6" borderId="7" xfId="10" applyFont="1" applyFill="1" applyBorder="1" applyAlignment="1">
      <alignment horizontal="left" vertical="center" wrapText="1"/>
    </xf>
    <xf numFmtId="0" fontId="5" fillId="6" borderId="8" xfId="10" applyFont="1" applyFill="1" applyBorder="1" applyAlignment="1">
      <alignment horizontal="left" vertical="center" wrapText="1"/>
    </xf>
    <xf numFmtId="0" fontId="5" fillId="6" borderId="9" xfId="10" applyFont="1" applyFill="1" applyBorder="1" applyAlignment="1">
      <alignment horizontal="left" vertical="center" wrapText="1"/>
    </xf>
    <xf numFmtId="0" fontId="5" fillId="6" borderId="13" xfId="11" applyFont="1" applyFill="1" applyBorder="1" applyAlignment="1">
      <alignment horizontal="left" vertical="center" wrapText="1"/>
    </xf>
    <xf numFmtId="0" fontId="5" fillId="6" borderId="10" xfId="11" applyFont="1" applyFill="1" applyBorder="1" applyAlignment="1">
      <alignment horizontal="left" vertical="center" wrapText="1"/>
    </xf>
    <xf numFmtId="0" fontId="0" fillId="10" borderId="7" xfId="0" applyFill="1" applyBorder="1" applyAlignment="1">
      <alignment horizontal="center" vertical="center" wrapText="1"/>
    </xf>
    <xf numFmtId="0" fontId="0" fillId="10" borderId="39" xfId="0" applyFill="1" applyBorder="1" applyAlignment="1">
      <alignment horizontal="center" vertical="center" wrapText="1"/>
    </xf>
    <xf numFmtId="0" fontId="12" fillId="10" borderId="49" xfId="0" applyFont="1" applyFill="1" applyBorder="1" applyAlignment="1">
      <alignment horizontal="center" vertical="center" wrapText="1"/>
    </xf>
    <xf numFmtId="0" fontId="12" fillId="10" borderId="5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/>
    </xf>
    <xf numFmtId="0" fontId="12" fillId="11" borderId="4" xfId="0" applyFont="1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0" fontId="0" fillId="10" borderId="7" xfId="0" applyFill="1" applyBorder="1" applyAlignment="1">
      <alignment horizontal="center" vertical="center"/>
    </xf>
    <xf numFmtId="0" fontId="0" fillId="10" borderId="107" xfId="0" applyFill="1" applyBorder="1" applyAlignment="1">
      <alignment horizontal="center" vertical="center"/>
    </xf>
    <xf numFmtId="0" fontId="0" fillId="10" borderId="106" xfId="0" applyFill="1" applyBorder="1" applyAlignment="1">
      <alignment horizontal="center" vertical="center"/>
    </xf>
    <xf numFmtId="0" fontId="0" fillId="10" borderId="108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 wrapText="1"/>
    </xf>
    <xf numFmtId="0" fontId="0" fillId="10" borderId="10" xfId="0" applyFill="1" applyBorder="1" applyAlignment="1">
      <alignment horizontal="center" vertical="center" wrapText="1"/>
    </xf>
    <xf numFmtId="0" fontId="0" fillId="10" borderId="11" xfId="0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/>
    </xf>
    <xf numFmtId="0" fontId="12" fillId="12" borderId="4" xfId="0" applyFont="1" applyFill="1" applyBorder="1" applyAlignment="1">
      <alignment horizontal="center"/>
    </xf>
    <xf numFmtId="0" fontId="0" fillId="10" borderId="8" xfId="0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/>
    </xf>
    <xf numFmtId="0" fontId="12" fillId="13" borderId="4" xfId="0" applyFont="1" applyFill="1" applyBorder="1" applyAlignment="1">
      <alignment horizontal="center"/>
    </xf>
    <xf numFmtId="0" fontId="0" fillId="10" borderId="39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0" fillId="10" borderId="11" xfId="0" applyFill="1" applyBorder="1" applyAlignment="1">
      <alignment horizontal="center" vertical="center"/>
    </xf>
    <xf numFmtId="0" fontId="12" fillId="14" borderId="1" xfId="0" applyFont="1" applyFill="1" applyBorder="1" applyAlignment="1">
      <alignment horizontal="center"/>
    </xf>
    <xf numFmtId="0" fontId="12" fillId="14" borderId="4" xfId="0" applyFont="1" applyFill="1" applyBorder="1" applyAlignment="1">
      <alignment horizontal="center"/>
    </xf>
    <xf numFmtId="0" fontId="7" fillId="0" borderId="42" xfId="8" applyFont="1" applyBorder="1" applyAlignment="1">
      <alignment horizontal="center" vertical="center"/>
    </xf>
    <xf numFmtId="0" fontId="7" fillId="0" borderId="77" xfId="8" applyFont="1" applyBorder="1" applyAlignment="1">
      <alignment horizontal="center" vertical="center"/>
    </xf>
    <xf numFmtId="0" fontId="7" fillId="0" borderId="6" xfId="8" applyFont="1" applyBorder="1" applyAlignment="1">
      <alignment horizontal="center" vertical="center"/>
    </xf>
    <xf numFmtId="0" fontId="7" fillId="0" borderId="31" xfId="8" applyFont="1" applyBorder="1" applyAlignment="1">
      <alignment horizontal="center" vertical="center"/>
    </xf>
    <xf numFmtId="0" fontId="7" fillId="0" borderId="45" xfId="8" applyFont="1" applyBorder="1" applyAlignment="1">
      <alignment horizontal="center" vertical="center"/>
    </xf>
    <xf numFmtId="10" fontId="8" fillId="0" borderId="6" xfId="0" applyNumberFormat="1" applyFont="1" applyBorder="1" applyAlignment="1">
      <alignment horizontal="center" vertical="center" wrapText="1"/>
    </xf>
    <xf numFmtId="10" fontId="8" fillId="0" borderId="31" xfId="0" applyNumberFormat="1" applyFont="1" applyBorder="1" applyAlignment="1">
      <alignment horizontal="center" vertical="center" wrapText="1"/>
    </xf>
    <xf numFmtId="0" fontId="7" fillId="0" borderId="5" xfId="8" applyFont="1" applyBorder="1" applyAlignment="1">
      <alignment horizontal="center" vertical="center"/>
    </xf>
    <xf numFmtId="0" fontId="7" fillId="0" borderId="38" xfId="8" applyFont="1" applyBorder="1" applyAlignment="1">
      <alignment horizontal="center" vertical="center"/>
    </xf>
    <xf numFmtId="0" fontId="7" fillId="0" borderId="52" xfId="8" applyFont="1" applyBorder="1" applyAlignment="1">
      <alignment horizontal="center" vertical="center"/>
    </xf>
    <xf numFmtId="0" fontId="7" fillId="0" borderId="30" xfId="8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 wrapText="1"/>
    </xf>
    <xf numFmtId="10" fontId="8" fillId="0" borderId="78" xfId="0" applyNumberFormat="1" applyFont="1" applyBorder="1" applyAlignment="1">
      <alignment horizontal="center" vertical="center" wrapText="1"/>
    </xf>
    <xf numFmtId="10" fontId="8" fillId="0" borderId="27" xfId="0" applyNumberFormat="1" applyFont="1" applyBorder="1" applyAlignment="1">
      <alignment horizontal="center" vertical="center" wrapText="1"/>
    </xf>
    <xf numFmtId="10" fontId="8" fillId="0" borderId="38" xfId="0" applyNumberFormat="1" applyFont="1" applyBorder="1" applyAlignment="1">
      <alignment horizontal="center" vertical="center" wrapText="1"/>
    </xf>
    <xf numFmtId="4" fontId="8" fillId="0" borderId="78" xfId="0" applyNumberFormat="1" applyFont="1" applyBorder="1" applyAlignment="1">
      <alignment horizontal="center" vertical="center" wrapText="1"/>
    </xf>
    <xf numFmtId="4" fontId="8" fillId="0" borderId="65" xfId="0" applyNumberFormat="1" applyFont="1" applyBorder="1" applyAlignment="1">
      <alignment horizontal="center" vertical="center" wrapText="1"/>
    </xf>
    <xf numFmtId="4" fontId="8" fillId="0" borderId="29" xfId="0" applyNumberFormat="1" applyFont="1" applyBorder="1" applyAlignment="1">
      <alignment horizontal="center" vertical="center" wrapText="1"/>
    </xf>
    <xf numFmtId="4" fontId="8" fillId="0" borderId="66" xfId="0" applyNumberFormat="1" applyFont="1" applyBorder="1" applyAlignment="1">
      <alignment horizontal="center" vertical="center" wrapText="1"/>
    </xf>
    <xf numFmtId="4" fontId="8" fillId="0" borderId="30" xfId="0" applyNumberFormat="1" applyFont="1" applyBorder="1" applyAlignment="1">
      <alignment horizontal="center" vertical="center" wrapText="1"/>
    </xf>
    <xf numFmtId="4" fontId="8" fillId="0" borderId="27" xfId="0" applyNumberFormat="1" applyFont="1" applyBorder="1" applyAlignment="1">
      <alignment horizontal="center" vertical="center" wrapText="1"/>
    </xf>
    <xf numFmtId="9" fontId="7" fillId="0" borderId="42" xfId="1" applyFont="1" applyFill="1" applyBorder="1" applyAlignment="1">
      <alignment horizontal="center"/>
    </xf>
    <xf numFmtId="9" fontId="7" fillId="0" borderId="45" xfId="1" applyFont="1" applyFill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77" xfId="0" applyFont="1" applyBorder="1" applyAlignment="1">
      <alignment horizontal="center"/>
    </xf>
    <xf numFmtId="0" fontId="7" fillId="0" borderId="45" xfId="0" applyFont="1" applyBorder="1" applyAlignment="1">
      <alignment horizontal="center"/>
    </xf>
    <xf numFmtId="9" fontId="7" fillId="0" borderId="42" xfId="0" applyNumberFormat="1" applyFont="1" applyBorder="1" applyAlignment="1">
      <alignment horizontal="right"/>
    </xf>
    <xf numFmtId="9" fontId="7" fillId="0" borderId="45" xfId="0" applyNumberFormat="1" applyFont="1" applyBorder="1" applyAlignment="1">
      <alignment horizontal="right"/>
    </xf>
    <xf numFmtId="9" fontId="7" fillId="0" borderId="77" xfId="0" applyNumberFormat="1" applyFont="1" applyBorder="1" applyAlignment="1">
      <alignment horizontal="right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9" fontId="0" fillId="0" borderId="1" xfId="0" applyNumberFormat="1" applyBorder="1" applyAlignment="1">
      <alignment horizontal="right"/>
    </xf>
    <xf numFmtId="9" fontId="0" fillId="0" borderId="3" xfId="0" applyNumberFormat="1" applyBorder="1" applyAlignment="1">
      <alignment horizontal="right"/>
    </xf>
    <xf numFmtId="9" fontId="0" fillId="0" borderId="4" xfId="0" applyNumberFormat="1" applyBorder="1" applyAlignment="1">
      <alignment horizontal="right"/>
    </xf>
    <xf numFmtId="0" fontId="0" fillId="0" borderId="1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4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2" xfId="0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0" xfId="8" applyFont="1" applyAlignment="1">
      <alignment horizontal="left"/>
    </xf>
    <xf numFmtId="0" fontId="0" fillId="0" borderId="3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39" xfId="0" applyBorder="1" applyAlignment="1">
      <alignment horizontal="center"/>
    </xf>
    <xf numFmtId="0" fontId="12" fillId="0" borderId="71" xfId="0" applyFont="1" applyBorder="1" applyAlignment="1">
      <alignment horizontal="center"/>
    </xf>
    <xf numFmtId="0" fontId="12" fillId="0" borderId="72" xfId="0" applyFont="1" applyBorder="1" applyAlignment="1">
      <alignment horizontal="center"/>
    </xf>
    <xf numFmtId="0" fontId="12" fillId="0" borderId="109" xfId="0" applyFont="1" applyBorder="1" applyAlignment="1">
      <alignment horizontal="center"/>
    </xf>
    <xf numFmtId="0" fontId="8" fillId="0" borderId="34" xfId="8" applyFont="1" applyBorder="1" applyAlignment="1">
      <alignment horizontal="center" vertical="center" wrapText="1"/>
    </xf>
    <xf numFmtId="0" fontId="8" fillId="0" borderId="30" xfId="8" applyFont="1" applyBorder="1" applyAlignment="1">
      <alignment horizontal="center" vertical="center" wrapText="1"/>
    </xf>
    <xf numFmtId="0" fontId="8" fillId="0" borderId="35" xfId="8" applyFont="1" applyBorder="1" applyAlignment="1">
      <alignment horizontal="center" vertical="center" wrapText="1"/>
    </xf>
    <xf numFmtId="0" fontId="8" fillId="0" borderId="63" xfId="8" applyFont="1" applyBorder="1" applyAlignment="1">
      <alignment horizontal="center" vertical="center" wrapText="1"/>
    </xf>
    <xf numFmtId="0" fontId="8" fillId="0" borderId="36" xfId="8" applyFont="1" applyBorder="1" applyAlignment="1">
      <alignment horizontal="center" vertical="center"/>
    </xf>
    <xf numFmtId="0" fontId="8" fillId="0" borderId="29" xfId="8" applyFont="1" applyBorder="1" applyAlignment="1">
      <alignment horizontal="center" vertical="center"/>
    </xf>
    <xf numFmtId="0" fontId="7" fillId="0" borderId="28" xfId="8" applyFont="1" applyBorder="1" applyAlignment="1">
      <alignment horizontal="center" vertical="center"/>
    </xf>
    <xf numFmtId="0" fontId="7" fillId="0" borderId="27" xfId="8" applyFont="1" applyBorder="1" applyAlignment="1">
      <alignment horizontal="center" vertical="center"/>
    </xf>
    <xf numFmtId="0" fontId="7" fillId="0" borderId="49" xfId="8" applyFont="1" applyBorder="1" applyAlignment="1">
      <alignment horizontal="center" vertical="center"/>
    </xf>
    <xf numFmtId="0" fontId="7" fillId="0" borderId="50" xfId="8" applyFont="1" applyBorder="1" applyAlignment="1">
      <alignment horizontal="center" vertical="center"/>
    </xf>
    <xf numFmtId="0" fontId="7" fillId="0" borderId="51" xfId="8" applyFont="1" applyBorder="1" applyAlignment="1">
      <alignment horizontal="center" vertical="center"/>
    </xf>
    <xf numFmtId="0" fontId="8" fillId="0" borderId="33" xfId="8" applyFont="1" applyBorder="1" applyAlignment="1">
      <alignment horizontal="center" vertical="center" wrapText="1"/>
    </xf>
    <xf numFmtId="0" fontId="8" fillId="0" borderId="27" xfId="8" applyFont="1" applyBorder="1" applyAlignment="1">
      <alignment horizontal="center" vertical="center" wrapText="1"/>
    </xf>
    <xf numFmtId="0" fontId="8" fillId="0" borderId="34" xfId="8" applyFont="1" applyBorder="1" applyAlignment="1">
      <alignment horizontal="center" vertical="center"/>
    </xf>
    <xf numFmtId="0" fontId="8" fillId="0" borderId="30" xfId="8" applyFont="1" applyBorder="1" applyAlignment="1">
      <alignment horizontal="center" vertical="center"/>
    </xf>
    <xf numFmtId="0" fontId="5" fillId="0" borderId="9" xfId="8" applyFont="1" applyBorder="1" applyAlignment="1">
      <alignment horizontal="center"/>
    </xf>
    <xf numFmtId="0" fontId="5" fillId="0" borderId="10" xfId="8" applyFont="1" applyBorder="1" applyAlignment="1">
      <alignment horizontal="center"/>
    </xf>
    <xf numFmtId="0" fontId="5" fillId="0" borderId="11" xfId="8" applyFont="1" applyBorder="1" applyAlignment="1">
      <alignment horizontal="center"/>
    </xf>
    <xf numFmtId="0" fontId="7" fillId="0" borderId="13" xfId="8" applyFont="1" applyBorder="1" applyAlignment="1">
      <alignment horizontal="center"/>
    </xf>
    <xf numFmtId="0" fontId="7" fillId="0" borderId="15" xfId="8" applyFont="1" applyBorder="1" applyAlignment="1">
      <alignment horizontal="center"/>
    </xf>
    <xf numFmtId="0" fontId="8" fillId="0" borderId="37" xfId="8" applyFont="1" applyBorder="1" applyAlignment="1">
      <alignment horizontal="center" vertical="center"/>
    </xf>
    <xf numFmtId="0" fontId="8" fillId="0" borderId="31" xfId="8" applyFont="1" applyBorder="1" applyAlignment="1">
      <alignment horizontal="center" vertical="center"/>
    </xf>
    <xf numFmtId="0" fontId="8" fillId="0" borderId="33" xfId="8" applyFont="1" applyBorder="1" applyAlignment="1">
      <alignment horizontal="center" vertical="center"/>
    </xf>
    <xf numFmtId="0" fontId="8" fillId="0" borderId="38" xfId="8" applyFont="1" applyBorder="1" applyAlignment="1">
      <alignment horizontal="center" vertical="center"/>
    </xf>
    <xf numFmtId="0" fontId="8" fillId="0" borderId="35" xfId="8" applyFont="1" applyBorder="1" applyAlignment="1">
      <alignment horizontal="center" vertical="center"/>
    </xf>
    <xf numFmtId="0" fontId="8" fillId="0" borderId="32" xfId="8" applyFont="1" applyBorder="1" applyAlignment="1">
      <alignment horizontal="center" vertical="center"/>
    </xf>
    <xf numFmtId="0" fontId="7" fillId="0" borderId="56" xfId="8" applyFont="1" applyBorder="1" applyAlignment="1">
      <alignment horizontal="center"/>
    </xf>
    <xf numFmtId="0" fontId="7" fillId="0" borderId="57" xfId="8" applyFont="1" applyBorder="1" applyAlignment="1">
      <alignment horizontal="center"/>
    </xf>
    <xf numFmtId="0" fontId="7" fillId="0" borderId="105" xfId="8" applyFont="1" applyBorder="1" applyAlignment="1">
      <alignment horizontal="center"/>
    </xf>
    <xf numFmtId="0" fontId="3" fillId="0" borderId="0" xfId="5" applyFont="1" applyAlignment="1">
      <alignment horizontal="left" vertical="center"/>
    </xf>
    <xf numFmtId="0" fontId="5" fillId="0" borderId="56" xfId="12" applyFont="1" applyBorder="1" applyAlignment="1">
      <alignment horizontal="center" vertical="center"/>
    </xf>
    <xf numFmtId="0" fontId="5" fillId="0" borderId="71" xfId="12" applyFont="1" applyBorder="1" applyAlignment="1">
      <alignment horizontal="center" vertical="center"/>
    </xf>
    <xf numFmtId="0" fontId="44" fillId="0" borderId="6" xfId="12" applyFont="1" applyBorder="1" applyAlignment="1">
      <alignment horizontal="center" vertical="center"/>
    </xf>
    <xf numFmtId="0" fontId="44" fillId="0" borderId="31" xfId="12" applyFont="1" applyBorder="1" applyAlignment="1">
      <alignment horizontal="center" vertical="center"/>
    </xf>
    <xf numFmtId="0" fontId="38" fillId="0" borderId="15" xfId="5" applyFont="1" applyBorder="1" applyAlignment="1">
      <alignment horizontal="center" vertical="center" wrapText="1"/>
    </xf>
    <xf numFmtId="0" fontId="38" fillId="0" borderId="37" xfId="5" applyFont="1" applyBorder="1" applyAlignment="1">
      <alignment horizontal="center" vertical="center" wrapText="1"/>
    </xf>
    <xf numFmtId="0" fontId="44" fillId="0" borderId="71" xfId="5" applyFont="1" applyBorder="1" applyAlignment="1">
      <alignment horizontal="center" vertical="center"/>
    </xf>
    <xf numFmtId="0" fontId="44" fillId="0" borderId="29" xfId="5" applyFont="1" applyBorder="1" applyAlignment="1">
      <alignment horizontal="center" vertical="center"/>
    </xf>
    <xf numFmtId="0" fontId="38" fillId="0" borderId="21" xfId="5" applyFont="1" applyBorder="1" applyAlignment="1">
      <alignment horizontal="left" indent="1"/>
    </xf>
    <xf numFmtId="0" fontId="38" fillId="0" borderId="54" xfId="5" applyFont="1" applyBorder="1" applyAlignment="1">
      <alignment horizontal="left" indent="1"/>
    </xf>
    <xf numFmtId="0" fontId="38" fillId="0" borderId="16" xfId="5" applyFont="1" applyBorder="1" applyAlignment="1">
      <alignment horizontal="left" indent="1"/>
    </xf>
    <xf numFmtId="0" fontId="38" fillId="0" borderId="13" xfId="5" applyFont="1" applyBorder="1" applyAlignment="1">
      <alignment horizontal="center" vertical="center" wrapText="1"/>
    </xf>
    <xf numFmtId="0" fontId="38" fillId="0" borderId="33" xfId="5" applyFont="1" applyBorder="1" applyAlignment="1">
      <alignment horizontal="center" vertical="center" wrapText="1"/>
    </xf>
    <xf numFmtId="0" fontId="38" fillId="0" borderId="10" xfId="5" applyFont="1" applyBorder="1" applyAlignment="1">
      <alignment horizontal="center" vertical="center" wrapText="1"/>
    </xf>
    <xf numFmtId="0" fontId="38" fillId="0" borderId="34" xfId="5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46" fillId="0" borderId="0" xfId="5" applyFont="1" applyAlignment="1">
      <alignment horizontal="left" vertical="center" wrapText="1"/>
    </xf>
    <xf numFmtId="0" fontId="12" fillId="0" borderId="42" xfId="0" applyFont="1" applyBorder="1" applyAlignment="1">
      <alignment horizontal="center"/>
    </xf>
    <xf numFmtId="0" fontId="12" fillId="0" borderId="77" xfId="0" applyFont="1" applyBorder="1" applyAlignment="1">
      <alignment horizontal="center"/>
    </xf>
    <xf numFmtId="0" fontId="7" fillId="0" borderId="42" xfId="5" applyFont="1" applyBorder="1" applyAlignment="1">
      <alignment horizontal="center" vertical="center"/>
    </xf>
    <xf numFmtId="0" fontId="7" fillId="0" borderId="45" xfId="5" applyFont="1" applyBorder="1" applyAlignment="1">
      <alignment horizontal="center" vertical="center"/>
    </xf>
    <xf numFmtId="0" fontId="47" fillId="0" borderId="0" xfId="5" applyFont="1" applyAlignment="1">
      <alignment horizontal="left" vertical="center" wrapText="1"/>
    </xf>
    <xf numFmtId="0" fontId="7" fillId="0" borderId="13" xfId="5" applyFont="1" applyBorder="1" applyAlignment="1">
      <alignment horizontal="center" vertical="center" wrapText="1"/>
    </xf>
    <xf numFmtId="0" fontId="7" fillId="0" borderId="22" xfId="5" applyFont="1" applyBorder="1" applyAlignment="1">
      <alignment horizontal="center" vertical="center" wrapText="1"/>
    </xf>
    <xf numFmtId="0" fontId="7" fillId="0" borderId="15" xfId="5" applyFont="1" applyBorder="1" applyAlignment="1">
      <alignment horizontal="center" vertical="center" wrapText="1"/>
    </xf>
    <xf numFmtId="0" fontId="7" fillId="0" borderId="26" xfId="5" applyFont="1" applyBorder="1" applyAlignment="1">
      <alignment horizontal="center" vertical="center" wrapText="1"/>
    </xf>
    <xf numFmtId="0" fontId="7" fillId="0" borderId="9" xfId="5" applyFont="1" applyBorder="1" applyAlignment="1">
      <alignment horizontal="center" vertical="center" wrapText="1"/>
    </xf>
    <xf numFmtId="0" fontId="7" fillId="0" borderId="11" xfId="5" applyFont="1" applyBorder="1" applyAlignment="1">
      <alignment horizontal="center" vertical="center" wrapText="1"/>
    </xf>
    <xf numFmtId="0" fontId="7" fillId="0" borderId="49" xfId="5" applyFont="1" applyBorder="1" applyAlignment="1">
      <alignment horizontal="center" vertical="center" wrapText="1"/>
    </xf>
    <xf numFmtId="0" fontId="7" fillId="0" borderId="51" xfId="5" applyFont="1" applyBorder="1" applyAlignment="1">
      <alignment horizontal="center" vertical="center" wrapText="1"/>
    </xf>
    <xf numFmtId="0" fontId="7" fillId="0" borderId="5" xfId="8" applyFont="1" applyBorder="1" applyAlignment="1">
      <alignment horizontal="center" vertical="center" wrapText="1"/>
    </xf>
    <xf numFmtId="0" fontId="7" fillId="0" borderId="38" xfId="8" applyFont="1" applyBorder="1" applyAlignment="1">
      <alignment horizontal="center" vertical="center" wrapText="1"/>
    </xf>
    <xf numFmtId="0" fontId="7" fillId="0" borderId="6" xfId="8" applyFont="1" applyBorder="1" applyAlignment="1">
      <alignment horizontal="center" vertical="center" wrapText="1"/>
    </xf>
    <xf numFmtId="0" fontId="7" fillId="0" borderId="31" xfId="8" applyFont="1" applyBorder="1" applyAlignment="1">
      <alignment horizontal="center" vertical="center" wrapText="1"/>
    </xf>
    <xf numFmtId="0" fontId="7" fillId="0" borderId="7" xfId="8" applyFont="1" applyBorder="1" applyAlignment="1">
      <alignment horizontal="center" vertical="center" wrapText="1"/>
    </xf>
    <xf numFmtId="0" fontId="7" fillId="0" borderId="8" xfId="8" applyFont="1" applyBorder="1" applyAlignment="1">
      <alignment horizontal="center" vertical="center" wrapText="1"/>
    </xf>
    <xf numFmtId="0" fontId="7" fillId="0" borderId="49" xfId="8" applyFont="1" applyBorder="1" applyAlignment="1">
      <alignment horizontal="center" vertical="center" wrapText="1"/>
    </xf>
    <xf numFmtId="0" fontId="7" fillId="0" borderId="51" xfId="8" applyFont="1" applyBorder="1" applyAlignment="1">
      <alignment horizontal="center" vertical="center" wrapText="1"/>
    </xf>
  </cellXfs>
  <cellStyles count="14">
    <cellStyle name="Čárka 2" xfId="13" xr:uid="{00000000-0005-0000-0000-00003B000000}"/>
    <cellStyle name="Hypertextový odkaz" xfId="9" builtinId="8"/>
    <cellStyle name="Nadpis - excel" xfId="2" xr:uid="{00000000-0005-0000-0000-000001000000}"/>
    <cellStyle name="Normální" xfId="0" builtinId="0"/>
    <cellStyle name="Normální 10" xfId="3" xr:uid="{00000000-0005-0000-0000-000003000000}"/>
    <cellStyle name="Normální 11 2" xfId="8" xr:uid="{00000000-0005-0000-0000-000004000000}"/>
    <cellStyle name="normální 14 2 2" xfId="5" xr:uid="{00000000-0005-0000-0000-000005000000}"/>
    <cellStyle name="Normální 2" xfId="4" xr:uid="{00000000-0005-0000-0000-000006000000}"/>
    <cellStyle name="normální 2 5" xfId="6" xr:uid="{00000000-0005-0000-0000-000007000000}"/>
    <cellStyle name="normální_Tab.1-bilance PV" xfId="11" xr:uid="{00000000-0005-0000-0000-000008000000}"/>
    <cellStyle name="normální_Tabulka 1-Bilanční-návrh 13.1.04" xfId="10" xr:uid="{00000000-0005-0000-0000-000009000000}"/>
    <cellStyle name="normální_Ubyt a strav 2002" xfId="12" xr:uid="{00000000-0005-0000-0000-00000A000000}"/>
    <cellStyle name="Procenta" xfId="1" builtinId="5"/>
    <cellStyle name="Procenta 3 2" xfId="7" xr:uid="{00000000-0005-0000-0000-00000C000000}"/>
  </cellStyles>
  <dxfs count="0"/>
  <tableStyles count="0" defaultTableStyle="TableStyleMedium2" defaultPivotStyle="PivotStyleLight16"/>
  <colors>
    <mruColors>
      <color rgb="FF9BC2E6"/>
      <color rgb="FFF4B084"/>
      <color rgb="FFFFD966"/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22412</xdr:colOff>
      <xdr:row>23</xdr:row>
      <xdr:rowOff>123265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D8FBE59A-1B17-4AE4-BDF4-DC5D419B2103}"/>
            </a:ext>
          </a:extLst>
        </xdr:cNvPr>
        <xdr:cNvSpPr txBox="1"/>
      </xdr:nvSpPr>
      <xdr:spPr>
        <a:xfrm>
          <a:off x="5692588" y="4661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0</xdr:rowOff>
    </xdr:from>
    <xdr:ext cx="9525" cy="316624"/>
    <xdr:pic>
      <xdr:nvPicPr>
        <xdr:cNvPr id="2" name="Picture 1" descr="https://sims.ics.muni.cz/sims_is/img/bod.gif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2675"/>
          <a:ext cx="9525" cy="316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525" cy="316624"/>
    <xdr:pic>
      <xdr:nvPicPr>
        <xdr:cNvPr id="3" name="Picture 2" descr="https://sims.ics.muni.cz/sims_is/img/bod.gif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2675"/>
          <a:ext cx="9525" cy="316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E23"/>
  <sheetViews>
    <sheetView tabSelected="1" zoomScale="85" zoomScaleNormal="85" workbookViewId="0"/>
  </sheetViews>
  <sheetFormatPr defaultRowHeight="15" x14ac:dyDescent="0.25"/>
  <cols>
    <col min="1" max="1" width="6.28515625" customWidth="1"/>
    <col min="2" max="2" width="69.7109375" customWidth="1"/>
  </cols>
  <sheetData>
    <row r="1" spans="1:5" ht="27.75" x14ac:dyDescent="0.4">
      <c r="A1" s="522" t="s">
        <v>286</v>
      </c>
      <c r="B1" s="523"/>
      <c r="C1" s="523"/>
      <c r="D1" s="523"/>
      <c r="E1" s="523"/>
    </row>
    <row r="3" spans="1:5" x14ac:dyDescent="0.25">
      <c r="A3" s="524" t="s">
        <v>176</v>
      </c>
    </row>
    <row r="4" spans="1:5" x14ac:dyDescent="0.25">
      <c r="A4" s="525"/>
    </row>
    <row r="5" spans="1:5" x14ac:dyDescent="0.25">
      <c r="A5" s="526">
        <v>1</v>
      </c>
      <c r="B5" s="610" t="s">
        <v>287</v>
      </c>
      <c r="C5" s="531"/>
    </row>
    <row r="6" spans="1:5" x14ac:dyDescent="0.25">
      <c r="A6" s="526" t="s">
        <v>185</v>
      </c>
      <c r="B6" s="610" t="s">
        <v>178</v>
      </c>
      <c r="C6" s="530"/>
    </row>
    <row r="7" spans="1:5" x14ac:dyDescent="0.25">
      <c r="A7" s="526" t="s">
        <v>186</v>
      </c>
      <c r="B7" s="610" t="s">
        <v>179</v>
      </c>
      <c r="C7" s="530"/>
    </row>
    <row r="8" spans="1:5" x14ac:dyDescent="0.25">
      <c r="A8" s="526" t="s">
        <v>187</v>
      </c>
      <c r="B8" s="610" t="s">
        <v>180</v>
      </c>
      <c r="C8" s="530"/>
    </row>
    <row r="9" spans="1:5" x14ac:dyDescent="0.25">
      <c r="A9" s="526" t="s">
        <v>188</v>
      </c>
      <c r="B9" s="610" t="s">
        <v>181</v>
      </c>
      <c r="C9" s="527"/>
    </row>
    <row r="10" spans="1:5" x14ac:dyDescent="0.25">
      <c r="A10" s="526" t="s">
        <v>189</v>
      </c>
      <c r="B10" s="611" t="s">
        <v>194</v>
      </c>
      <c r="C10" s="527"/>
    </row>
    <row r="11" spans="1:5" x14ac:dyDescent="0.25">
      <c r="A11" s="526" t="s">
        <v>190</v>
      </c>
      <c r="B11" s="611" t="s">
        <v>182</v>
      </c>
      <c r="C11" s="527"/>
    </row>
    <row r="12" spans="1:5" x14ac:dyDescent="0.25">
      <c r="A12" s="526" t="s">
        <v>195</v>
      </c>
      <c r="B12" s="611" t="s">
        <v>183</v>
      </c>
      <c r="C12" s="527"/>
    </row>
    <row r="13" spans="1:5" x14ac:dyDescent="0.25">
      <c r="A13" s="526" t="s">
        <v>196</v>
      </c>
      <c r="B13" s="611" t="s">
        <v>197</v>
      </c>
      <c r="C13" s="527"/>
    </row>
    <row r="14" spans="1:5" x14ac:dyDescent="0.25">
      <c r="A14" s="526">
        <v>4</v>
      </c>
      <c r="B14" s="611" t="s">
        <v>191</v>
      </c>
      <c r="C14" s="527"/>
    </row>
    <row r="15" spans="1:5" x14ac:dyDescent="0.25">
      <c r="A15" s="528">
        <v>5</v>
      </c>
      <c r="B15" s="611" t="s">
        <v>92</v>
      </c>
      <c r="C15" s="530"/>
    </row>
    <row r="16" spans="1:5" x14ac:dyDescent="0.25">
      <c r="A16" s="528">
        <v>6</v>
      </c>
      <c r="B16" s="611" t="s">
        <v>124</v>
      </c>
      <c r="C16" s="530"/>
    </row>
    <row r="17" spans="1:3" x14ac:dyDescent="0.25">
      <c r="A17" s="526">
        <v>7</v>
      </c>
      <c r="B17" s="611" t="s">
        <v>94</v>
      </c>
      <c r="C17" s="530"/>
    </row>
    <row r="18" spans="1:3" x14ac:dyDescent="0.25">
      <c r="A18" s="526">
        <v>8</v>
      </c>
      <c r="B18" s="610" t="s">
        <v>163</v>
      </c>
      <c r="C18" s="530"/>
    </row>
    <row r="19" spans="1:3" x14ac:dyDescent="0.25">
      <c r="A19" s="526">
        <v>9</v>
      </c>
      <c r="B19" s="610" t="s">
        <v>173</v>
      </c>
      <c r="C19" s="529"/>
    </row>
    <row r="20" spans="1:3" x14ac:dyDescent="0.25">
      <c r="A20" s="526" t="s">
        <v>198</v>
      </c>
      <c r="B20" s="610" t="s">
        <v>177</v>
      </c>
      <c r="C20" s="529"/>
    </row>
    <row r="21" spans="1:3" x14ac:dyDescent="0.25">
      <c r="A21" s="526" t="s">
        <v>199</v>
      </c>
      <c r="B21" s="610" t="s">
        <v>184</v>
      </c>
      <c r="C21" s="529"/>
    </row>
    <row r="22" spans="1:3" x14ac:dyDescent="0.25">
      <c r="A22" s="526"/>
      <c r="B22" s="527"/>
      <c r="C22" s="529"/>
    </row>
    <row r="23" spans="1:3" x14ac:dyDescent="0.25">
      <c r="A23" s="526"/>
      <c r="B23" s="527"/>
      <c r="C23" s="527"/>
    </row>
  </sheetData>
  <hyperlinks>
    <hyperlink ref="B5" location="'1 Bilance'!A1" display="Bilance zdrojů pro rozdělení příspěvku a dotací vysokým školám v roce 2021" xr:uid="{3BBAFBB5-07DC-4DD7-85C5-D55300EA62F4}"/>
    <hyperlink ref="B6" location="'2a Výkonová část segment 1'!A1" display="Výkonová část - segment 1" xr:uid="{42330568-A9FA-4D23-93AE-FF47AFDDCB1A}"/>
    <hyperlink ref="B7" location="'2b Výkonová část segment 2'!A1" display="Výkonová část - segment 2" xr:uid="{2FFC135B-878F-483F-BB19-5CCE9345D8F7}"/>
    <hyperlink ref="B8" location="'2c Výkonová část segment 3'!A1" display="Výkonová část - segment 3" xr:uid="{45B03F80-3B4D-4C12-B6BC-0A2F4C0EB18F}"/>
    <hyperlink ref="B9" location="'2d Výkonová část segment 4'!A1" display="Výkonová část - segment 4" xr:uid="{9B689671-7A30-4BB4-A05D-3BBFC7A32D19}"/>
    <hyperlink ref="B10" location="'3a Ukazatel P - lékařské fakult'!A1" display="Ukazatel P - Lékařské fakulty" xr:uid="{558D2358-A000-4AAE-934E-20B38AE4AE5E}"/>
    <hyperlink ref="B11" location="'3b Ukazatel P - Pedagog. fak.'!A1" display="Ukazatel P - Pedagogické fakulty" xr:uid="{22506269-CEE3-4D76-9AA1-518C5854D7B4}"/>
    <hyperlink ref="B12" location="'3c Ukazatel P - pedagogické SP'!A1" display="Ukazatel P - Pedagogické SP" xr:uid="{E43816B4-AEB2-4FE5-845E-D33B7812A47B}"/>
    <hyperlink ref="B13" location="'3d Ukazatel P - deficitní aprob'!A1" display="Ukazatel P - Deficitní aprobace" xr:uid="{E1ED6C8C-B9A7-49C5-860F-0EB79BCF84EB}"/>
    <hyperlink ref="B14" location="'4 RO I'!A1" display="Rozpočtový okruh I" xr:uid="{9714560D-C0C3-4213-8974-13DA47F6B714}"/>
    <hyperlink ref="B15" location="'5 Ukazatel C'!A1" display="Ukazatel C" xr:uid="{CBEA28DB-F5A1-466D-B683-079FF0974A8F}"/>
    <hyperlink ref="B16" location="'6 Ukazatel J'!A1" display="Ukazatel J" xr:uid="{088DED6F-9C35-4075-9BB0-5C2A6C4F2647}"/>
    <hyperlink ref="B17" location="'7 Ukazatel U'!A1" display="Ukazatel U" xr:uid="{3BDF37AA-13B1-4868-8127-3FFDB292E42F}"/>
    <hyperlink ref="B18" location="'8 Ukazatel I'!A1" display="Ukazatel I" xr:uid="{5C5FE5E6-1CD8-4D42-A717-7212CD38847E}"/>
    <hyperlink ref="B19" location="'9 Fond umělecké činnosti'!A1" display="Fond umělecké činnosti" xr:uid="{7BE4E29E-7127-47C7-AC07-99788BAC4C3D}"/>
    <hyperlink ref="B20" location="'10a Ukazatel F - U3V'!A1" display="Ukazatel F - U3V" xr:uid="{D0991906-6674-47B5-85BF-A5450A5EBE12}"/>
    <hyperlink ref="B21" location="'10b Ukazatel F - SSP'!A1" display="Ukazatel F - SSP " xr:uid="{8D1AB21D-2B79-4896-AA86-ACB590E4B405}"/>
  </hyperlinks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 xml:space="preserve">&amp;LČ. j.:999/2024-1
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E0FB7-0B68-4F26-8A76-F6E2A7EF1CD0}">
  <sheetPr>
    <tabColor rgb="FFFF0000"/>
  </sheetPr>
  <dimension ref="A1:L80"/>
  <sheetViews>
    <sheetView zoomScale="70" zoomScaleNormal="70" workbookViewId="0">
      <selection activeCell="B28" sqref="B28"/>
    </sheetView>
  </sheetViews>
  <sheetFormatPr defaultRowHeight="15" x14ac:dyDescent="0.25"/>
  <cols>
    <col min="2" max="2" width="59.28515625" customWidth="1"/>
    <col min="3" max="3" width="19.5703125" customWidth="1"/>
    <col min="4" max="4" width="46" customWidth="1"/>
    <col min="5" max="10" width="21.140625" customWidth="1"/>
    <col min="12" max="12" width="21.140625" bestFit="1" customWidth="1"/>
  </cols>
  <sheetData>
    <row r="1" spans="1:12" ht="23.25" x14ac:dyDescent="0.35">
      <c r="A1" s="865" t="s">
        <v>317</v>
      </c>
    </row>
    <row r="3" spans="1:12" x14ac:dyDescent="0.25">
      <c r="A3" s="1028" t="s">
        <v>318</v>
      </c>
      <c r="B3" s="1028"/>
      <c r="C3" s="1028"/>
      <c r="D3" s="560">
        <v>30000000</v>
      </c>
    </row>
    <row r="4" spans="1:12" ht="15.75" thickBot="1" x14ac:dyDescent="0.3">
      <c r="A4" s="605"/>
      <c r="B4" s="605"/>
      <c r="C4" s="605"/>
      <c r="D4" s="11"/>
    </row>
    <row r="5" spans="1:12" ht="15.75" thickBot="1" x14ac:dyDescent="0.3">
      <c r="E5" s="1014">
        <v>0.4</v>
      </c>
      <c r="F5" s="1015"/>
      <c r="G5" s="1014">
        <v>0.6</v>
      </c>
      <c r="H5" s="1016"/>
    </row>
    <row r="6" spans="1:12" x14ac:dyDescent="0.25">
      <c r="A6" s="1017" t="s">
        <v>2</v>
      </c>
      <c r="B6" s="1030" t="s">
        <v>3</v>
      </c>
      <c r="C6" s="1030" t="s">
        <v>169</v>
      </c>
      <c r="D6" s="1019" t="s">
        <v>133</v>
      </c>
      <c r="E6" s="1011" t="s">
        <v>208</v>
      </c>
      <c r="F6" s="1013"/>
      <c r="G6" s="1011" t="s">
        <v>209</v>
      </c>
      <c r="H6" s="1012"/>
      <c r="I6" s="1033" t="s">
        <v>28</v>
      </c>
      <c r="J6" s="1034"/>
    </row>
    <row r="7" spans="1:12" ht="15.75" thickBot="1" x14ac:dyDescent="0.3">
      <c r="A7" s="1029"/>
      <c r="B7" s="1031"/>
      <c r="C7" s="1031"/>
      <c r="D7" s="1032"/>
      <c r="E7" s="541" t="s">
        <v>168</v>
      </c>
      <c r="F7" s="603" t="s">
        <v>134</v>
      </c>
      <c r="G7" s="602" t="s">
        <v>168</v>
      </c>
      <c r="H7" s="604" t="s">
        <v>134</v>
      </c>
      <c r="I7" s="827" t="s">
        <v>134</v>
      </c>
      <c r="J7" s="827" t="s">
        <v>30</v>
      </c>
    </row>
    <row r="8" spans="1:12" x14ac:dyDescent="0.25">
      <c r="A8" s="601">
        <v>11000</v>
      </c>
      <c r="B8" s="542" t="s">
        <v>4</v>
      </c>
      <c r="C8" s="600">
        <v>11310</v>
      </c>
      <c r="D8" s="543" t="s">
        <v>210</v>
      </c>
      <c r="E8" s="544"/>
      <c r="F8" s="545">
        <f t="shared" ref="F8:F21" si="0">0.5*F27+0.3*F46+0.2*F64</f>
        <v>8.0726986253959479E-2</v>
      </c>
      <c r="G8" s="546"/>
      <c r="H8" s="438">
        <f t="shared" ref="H8:H21" si="1">0.5*H27+0.3*H46+0.2*H64</f>
        <v>7.975445091631192E-2</v>
      </c>
      <c r="I8" s="828">
        <f>$E$5*F8+$G$5*H8</f>
        <v>8.0143465051370946E-2</v>
      </c>
      <c r="J8" s="829">
        <f>ROUND(I8*$D$3,0)</f>
        <v>2404304</v>
      </c>
      <c r="L8" s="866"/>
    </row>
    <row r="9" spans="1:12" x14ac:dyDescent="0.25">
      <c r="A9" s="482">
        <v>11000</v>
      </c>
      <c r="B9" s="509" t="s">
        <v>4</v>
      </c>
      <c r="C9" s="571">
        <v>11510</v>
      </c>
      <c r="D9" s="483" t="s">
        <v>211</v>
      </c>
      <c r="E9" s="484"/>
      <c r="F9" s="485">
        <f t="shared" si="0"/>
        <v>6.2660270135192729E-3</v>
      </c>
      <c r="G9" s="486"/>
      <c r="H9" s="487">
        <f t="shared" si="1"/>
        <v>3.2199148607744534E-3</v>
      </c>
      <c r="I9" s="830">
        <f t="shared" ref="I9:I21" si="2">$E$5*F9+$G$5*H9</f>
        <v>4.4383597218723815E-3</v>
      </c>
      <c r="J9" s="831">
        <f t="shared" ref="J9:J21" si="3">ROUND(I9*$D$3,0)</f>
        <v>133151</v>
      </c>
      <c r="L9" s="866"/>
    </row>
    <row r="10" spans="1:12" x14ac:dyDescent="0.25">
      <c r="A10" s="482">
        <v>11000</v>
      </c>
      <c r="B10" s="509" t="s">
        <v>4</v>
      </c>
      <c r="C10" s="571">
        <v>11320</v>
      </c>
      <c r="D10" s="483" t="s">
        <v>212</v>
      </c>
      <c r="E10" s="484"/>
      <c r="F10" s="485">
        <f t="shared" si="0"/>
        <v>4.10909043683374E-2</v>
      </c>
      <c r="G10" s="486"/>
      <c r="H10" s="487">
        <f t="shared" si="1"/>
        <v>5.077037331821891E-2</v>
      </c>
      <c r="I10" s="830">
        <f t="shared" si="2"/>
        <v>4.6898585738266302E-2</v>
      </c>
      <c r="J10" s="831">
        <f t="shared" si="3"/>
        <v>1406958</v>
      </c>
      <c r="L10" s="866"/>
    </row>
    <row r="11" spans="1:12" x14ac:dyDescent="0.25">
      <c r="A11" s="490">
        <v>12000</v>
      </c>
      <c r="B11" s="510" t="s">
        <v>5</v>
      </c>
      <c r="C11" s="548">
        <v>12310</v>
      </c>
      <c r="D11" s="491" t="s">
        <v>210</v>
      </c>
      <c r="E11" s="492"/>
      <c r="F11" s="493">
        <f t="shared" si="0"/>
        <v>9.4436097719942894E-2</v>
      </c>
      <c r="G11" s="439"/>
      <c r="H11" s="440">
        <f t="shared" si="1"/>
        <v>0.13839927804509405</v>
      </c>
      <c r="I11" s="832">
        <f t="shared" si="2"/>
        <v>0.12081400591503359</v>
      </c>
      <c r="J11" s="833">
        <f t="shared" si="3"/>
        <v>3624420</v>
      </c>
      <c r="L11" s="866"/>
    </row>
    <row r="12" spans="1:12" x14ac:dyDescent="0.25">
      <c r="A12" s="490">
        <v>13000</v>
      </c>
      <c r="B12" s="510" t="s">
        <v>6</v>
      </c>
      <c r="C12" s="548">
        <v>13440</v>
      </c>
      <c r="D12" s="491" t="s">
        <v>210</v>
      </c>
      <c r="E12" s="492"/>
      <c r="F12" s="493">
        <f t="shared" si="0"/>
        <v>7.6974841596756424E-2</v>
      </c>
      <c r="G12" s="439"/>
      <c r="H12" s="440">
        <f t="shared" si="1"/>
        <v>3.679873698089392E-2</v>
      </c>
      <c r="I12" s="832">
        <f t="shared" si="2"/>
        <v>5.2869178827238919E-2</v>
      </c>
      <c r="J12" s="833">
        <f t="shared" si="3"/>
        <v>1586075</v>
      </c>
      <c r="L12" s="866"/>
    </row>
    <row r="13" spans="1:12" x14ac:dyDescent="0.25">
      <c r="A13" s="490">
        <v>14000</v>
      </c>
      <c r="B13" s="510" t="s">
        <v>7</v>
      </c>
      <c r="C13" s="548">
        <v>14310</v>
      </c>
      <c r="D13" s="491" t="s">
        <v>210</v>
      </c>
      <c r="E13" s="492"/>
      <c r="F13" s="493">
        <f t="shared" si="0"/>
        <v>0.12176673286519785</v>
      </c>
      <c r="G13" s="439"/>
      <c r="H13" s="440">
        <f t="shared" si="1"/>
        <v>0.13545982417423391</v>
      </c>
      <c r="I13" s="832">
        <f t="shared" si="2"/>
        <v>0.12998258765061949</v>
      </c>
      <c r="J13" s="833">
        <f t="shared" si="3"/>
        <v>3899478</v>
      </c>
      <c r="L13" s="866"/>
    </row>
    <row r="14" spans="1:12" x14ac:dyDescent="0.25">
      <c r="A14" s="490">
        <v>15000</v>
      </c>
      <c r="B14" s="510" t="s">
        <v>8</v>
      </c>
      <c r="C14" s="548">
        <v>15310</v>
      </c>
      <c r="D14" s="491" t="s">
        <v>210</v>
      </c>
      <c r="E14" s="492"/>
      <c r="F14" s="493">
        <f t="shared" si="0"/>
        <v>0.19888544914545225</v>
      </c>
      <c r="G14" s="439"/>
      <c r="H14" s="440">
        <f t="shared" si="1"/>
        <v>0.1800751098408564</v>
      </c>
      <c r="I14" s="832">
        <f t="shared" si="2"/>
        <v>0.18759924556269475</v>
      </c>
      <c r="J14" s="833">
        <f t="shared" si="3"/>
        <v>5627977</v>
      </c>
      <c r="L14" s="866"/>
    </row>
    <row r="15" spans="1:12" x14ac:dyDescent="0.25">
      <c r="A15" s="490">
        <v>15000</v>
      </c>
      <c r="B15" s="510" t="s">
        <v>8</v>
      </c>
      <c r="C15" s="548">
        <v>15510</v>
      </c>
      <c r="D15" s="491" t="s">
        <v>213</v>
      </c>
      <c r="E15" s="492"/>
      <c r="F15" s="493">
        <f t="shared" si="0"/>
        <v>2.2624135383787419E-2</v>
      </c>
      <c r="G15" s="439"/>
      <c r="H15" s="440">
        <f t="shared" si="1"/>
        <v>2.7244913956320924E-2</v>
      </c>
      <c r="I15" s="832">
        <f t="shared" si="2"/>
        <v>2.5396602527307521E-2</v>
      </c>
      <c r="J15" s="833">
        <f t="shared" si="3"/>
        <v>761898</v>
      </c>
      <c r="L15" s="866"/>
    </row>
    <row r="16" spans="1:12" x14ac:dyDescent="0.25">
      <c r="A16" s="490">
        <v>17000</v>
      </c>
      <c r="B16" s="510" t="s">
        <v>9</v>
      </c>
      <c r="C16" s="548">
        <v>17310</v>
      </c>
      <c r="D16" s="491" t="s">
        <v>210</v>
      </c>
      <c r="E16" s="492"/>
      <c r="F16" s="493">
        <f t="shared" si="0"/>
        <v>0.14096899162072168</v>
      </c>
      <c r="G16" s="439"/>
      <c r="H16" s="440">
        <f t="shared" si="1"/>
        <v>0.13112130128753985</v>
      </c>
      <c r="I16" s="832">
        <f t="shared" si="2"/>
        <v>0.13506037742081259</v>
      </c>
      <c r="J16" s="833">
        <f t="shared" si="3"/>
        <v>4051811</v>
      </c>
      <c r="L16" s="866"/>
    </row>
    <row r="17" spans="1:12" x14ac:dyDescent="0.25">
      <c r="A17" s="490">
        <v>18000</v>
      </c>
      <c r="B17" s="510" t="s">
        <v>10</v>
      </c>
      <c r="C17" s="548">
        <v>18470</v>
      </c>
      <c r="D17" s="491" t="s">
        <v>210</v>
      </c>
      <c r="E17" s="492"/>
      <c r="F17" s="493">
        <f t="shared" si="0"/>
        <v>0.14999538549727623</v>
      </c>
      <c r="G17" s="439"/>
      <c r="H17" s="440">
        <f t="shared" si="1"/>
        <v>0.12170053342659254</v>
      </c>
      <c r="I17" s="832">
        <f t="shared" si="2"/>
        <v>0.13301847425486601</v>
      </c>
      <c r="J17" s="833">
        <f t="shared" si="3"/>
        <v>3990554</v>
      </c>
      <c r="L17" s="866"/>
    </row>
    <row r="18" spans="1:12" x14ac:dyDescent="0.25">
      <c r="A18" s="490">
        <v>21000</v>
      </c>
      <c r="B18" s="510" t="s">
        <v>12</v>
      </c>
      <c r="C18" s="548">
        <v>21900</v>
      </c>
      <c r="D18" s="491" t="s">
        <v>214</v>
      </c>
      <c r="E18" s="492"/>
      <c r="F18" s="493">
        <f t="shared" si="0"/>
        <v>5.4127058169602262E-2</v>
      </c>
      <c r="G18" s="439"/>
      <c r="H18" s="440">
        <f t="shared" si="1"/>
        <v>7.1234498671458257E-2</v>
      </c>
      <c r="I18" s="832">
        <f t="shared" si="2"/>
        <v>6.4391522470715862E-2</v>
      </c>
      <c r="J18" s="833">
        <f t="shared" si="3"/>
        <v>1931746</v>
      </c>
      <c r="L18" s="866"/>
    </row>
    <row r="19" spans="1:12" x14ac:dyDescent="0.25">
      <c r="A19" s="490">
        <v>22000</v>
      </c>
      <c r="B19" s="510" t="s">
        <v>13</v>
      </c>
      <c r="C19" s="548">
        <v>22900</v>
      </c>
      <c r="D19" s="491" t="s">
        <v>214</v>
      </c>
      <c r="E19" s="492"/>
      <c r="F19" s="493">
        <f t="shared" si="0"/>
        <v>3.3472061324136245E-3</v>
      </c>
      <c r="G19" s="439"/>
      <c r="H19" s="440">
        <f t="shared" si="1"/>
        <v>3.4277180838448518E-3</v>
      </c>
      <c r="I19" s="832">
        <f t="shared" si="2"/>
        <v>3.395513303272361E-3</v>
      </c>
      <c r="J19" s="833">
        <f t="shared" si="3"/>
        <v>101865</v>
      </c>
      <c r="L19" s="866"/>
    </row>
    <row r="20" spans="1:12" x14ac:dyDescent="0.25">
      <c r="A20" s="490">
        <v>23000</v>
      </c>
      <c r="B20" s="510" t="s">
        <v>14</v>
      </c>
      <c r="C20" s="548">
        <v>23520</v>
      </c>
      <c r="D20" s="491" t="s">
        <v>215</v>
      </c>
      <c r="E20" s="492"/>
      <c r="F20" s="493">
        <f t="shared" si="0"/>
        <v>2.3976230771958567E-3</v>
      </c>
      <c r="G20" s="439"/>
      <c r="H20" s="440">
        <f t="shared" si="1"/>
        <v>3.6620519437711293E-3</v>
      </c>
      <c r="I20" s="832">
        <f t="shared" si="2"/>
        <v>3.1562803971410206E-3</v>
      </c>
      <c r="J20" s="833">
        <f>ROUND(I20*$D$3+0.3,0)</f>
        <v>94689</v>
      </c>
      <c r="L20" s="866"/>
    </row>
    <row r="21" spans="1:12" ht="15.75" thickBot="1" x14ac:dyDescent="0.3">
      <c r="A21" s="511">
        <v>28000</v>
      </c>
      <c r="B21" s="512" t="s">
        <v>19</v>
      </c>
      <c r="C21" s="549">
        <v>28140</v>
      </c>
      <c r="D21" s="550" t="s">
        <v>216</v>
      </c>
      <c r="E21" s="551"/>
      <c r="F21" s="552">
        <f t="shared" si="0"/>
        <v>6.3925611558373601E-3</v>
      </c>
      <c r="G21" s="553"/>
      <c r="H21" s="554">
        <f t="shared" si="1"/>
        <v>1.7131294494088893E-2</v>
      </c>
      <c r="I21" s="834">
        <f t="shared" si="2"/>
        <v>1.283580115878828E-2</v>
      </c>
      <c r="J21" s="835">
        <f t="shared" si="3"/>
        <v>385074</v>
      </c>
      <c r="L21" s="866"/>
    </row>
    <row r="22" spans="1:12" ht="15.75" thickBot="1" x14ac:dyDescent="0.3">
      <c r="A22" s="1035" t="s">
        <v>118</v>
      </c>
      <c r="B22" s="1036"/>
      <c r="C22" s="1036"/>
      <c r="D22" s="1037"/>
      <c r="E22" s="556">
        <f t="shared" ref="E22:J22" si="4">SUM(E8:E21)</f>
        <v>0</v>
      </c>
      <c r="F22" s="557">
        <f t="shared" si="4"/>
        <v>0.99999999999999978</v>
      </c>
      <c r="G22" s="558">
        <f t="shared" si="4"/>
        <v>0</v>
      </c>
      <c r="H22" s="559">
        <f t="shared" si="4"/>
        <v>1</v>
      </c>
      <c r="I22" s="836">
        <f t="shared" si="4"/>
        <v>1</v>
      </c>
      <c r="J22" s="837">
        <f t="shared" si="4"/>
        <v>30000000</v>
      </c>
    </row>
    <row r="24" spans="1:12" ht="15.75" thickBot="1" x14ac:dyDescent="0.3">
      <c r="A24" s="351">
        <v>2023</v>
      </c>
    </row>
    <row r="25" spans="1:12" x14ac:dyDescent="0.25">
      <c r="A25" s="1017" t="s">
        <v>2</v>
      </c>
      <c r="B25" s="1030" t="s">
        <v>3</v>
      </c>
      <c r="C25" s="1030" t="s">
        <v>169</v>
      </c>
      <c r="D25" s="1019" t="s">
        <v>133</v>
      </c>
      <c r="E25" s="1011" t="s">
        <v>208</v>
      </c>
      <c r="F25" s="1013"/>
      <c r="G25" s="1011" t="s">
        <v>209</v>
      </c>
      <c r="H25" s="1012"/>
    </row>
    <row r="26" spans="1:12" ht="15.75" thickBot="1" x14ac:dyDescent="0.3">
      <c r="A26" s="1029"/>
      <c r="B26" s="1031"/>
      <c r="C26" s="1031"/>
      <c r="D26" s="1032"/>
      <c r="E26" s="602" t="s">
        <v>168</v>
      </c>
      <c r="F26" s="603" t="s">
        <v>134</v>
      </c>
      <c r="G26" s="602" t="s">
        <v>168</v>
      </c>
      <c r="H26" s="604" t="s">
        <v>134</v>
      </c>
    </row>
    <row r="27" spans="1:12" x14ac:dyDescent="0.25">
      <c r="A27" s="601">
        <v>11000</v>
      </c>
      <c r="B27" s="542" t="s">
        <v>4</v>
      </c>
      <c r="C27" s="600">
        <v>11310</v>
      </c>
      <c r="D27" s="543" t="s">
        <v>210</v>
      </c>
      <c r="E27" s="546">
        <v>270</v>
      </c>
      <c r="F27" s="545">
        <f t="shared" ref="F27:F40" si="5">E27/$E$41</f>
        <v>7.5949367088607597E-2</v>
      </c>
      <c r="G27" s="546">
        <v>59</v>
      </c>
      <c r="H27" s="438">
        <f t="shared" ref="H27:H40" si="6">G27/$G$41</f>
        <v>9.3206951026856236E-2</v>
      </c>
    </row>
    <row r="28" spans="1:12" x14ac:dyDescent="0.25">
      <c r="A28" s="482">
        <v>11000</v>
      </c>
      <c r="B28" s="509" t="s">
        <v>4</v>
      </c>
      <c r="C28" s="571">
        <v>11510</v>
      </c>
      <c r="D28" s="483" t="s">
        <v>211</v>
      </c>
      <c r="E28" s="486">
        <v>25</v>
      </c>
      <c r="F28" s="485">
        <f t="shared" si="5"/>
        <v>7.0323488045007029E-3</v>
      </c>
      <c r="G28" s="486">
        <v>1</v>
      </c>
      <c r="H28" s="487">
        <f t="shared" si="6"/>
        <v>1.5797788309636651E-3</v>
      </c>
    </row>
    <row r="29" spans="1:12" x14ac:dyDescent="0.25">
      <c r="A29" s="482">
        <v>11000</v>
      </c>
      <c r="B29" s="509" t="s">
        <v>4</v>
      </c>
      <c r="C29" s="571">
        <v>11320</v>
      </c>
      <c r="D29" s="483" t="s">
        <v>212</v>
      </c>
      <c r="E29" s="486">
        <v>135</v>
      </c>
      <c r="F29" s="485">
        <f t="shared" si="5"/>
        <v>3.7974683544303799E-2</v>
      </c>
      <c r="G29" s="486">
        <v>26</v>
      </c>
      <c r="H29" s="487">
        <f t="shared" si="6"/>
        <v>4.1074249605055291E-2</v>
      </c>
    </row>
    <row r="30" spans="1:12" x14ac:dyDescent="0.25">
      <c r="A30" s="490">
        <v>12000</v>
      </c>
      <c r="B30" s="510" t="s">
        <v>5</v>
      </c>
      <c r="C30" s="548">
        <v>12310</v>
      </c>
      <c r="D30" s="491" t="s">
        <v>210</v>
      </c>
      <c r="E30" s="439">
        <v>470</v>
      </c>
      <c r="F30" s="493">
        <f t="shared" si="5"/>
        <v>0.13220815752461323</v>
      </c>
      <c r="G30" s="439">
        <v>135</v>
      </c>
      <c r="H30" s="440">
        <f t="shared" si="6"/>
        <v>0.2132701421800948</v>
      </c>
    </row>
    <row r="31" spans="1:12" x14ac:dyDescent="0.25">
      <c r="A31" s="490">
        <v>13000</v>
      </c>
      <c r="B31" s="510" t="s">
        <v>6</v>
      </c>
      <c r="C31" s="548">
        <v>13440</v>
      </c>
      <c r="D31" s="491" t="s">
        <v>210</v>
      </c>
      <c r="E31" s="439">
        <v>263</v>
      </c>
      <c r="F31" s="493">
        <f t="shared" si="5"/>
        <v>7.3980309423347393E-2</v>
      </c>
      <c r="G31" s="439">
        <v>24</v>
      </c>
      <c r="H31" s="440">
        <f t="shared" si="6"/>
        <v>3.7914691943127965E-2</v>
      </c>
    </row>
    <row r="32" spans="1:12" x14ac:dyDescent="0.25">
      <c r="A32" s="490">
        <v>14000</v>
      </c>
      <c r="B32" s="510" t="s">
        <v>7</v>
      </c>
      <c r="C32" s="548">
        <v>14310</v>
      </c>
      <c r="D32" s="491" t="s">
        <v>210</v>
      </c>
      <c r="E32" s="439">
        <v>408</v>
      </c>
      <c r="F32" s="493">
        <f t="shared" si="5"/>
        <v>0.11476793248945148</v>
      </c>
      <c r="G32" s="439">
        <v>72</v>
      </c>
      <c r="H32" s="440">
        <f t="shared" si="6"/>
        <v>0.11374407582938388</v>
      </c>
    </row>
    <row r="33" spans="1:8" x14ac:dyDescent="0.25">
      <c r="A33" s="490">
        <v>15000</v>
      </c>
      <c r="B33" s="510" t="s">
        <v>8</v>
      </c>
      <c r="C33" s="548">
        <v>15310</v>
      </c>
      <c r="D33" s="491" t="s">
        <v>210</v>
      </c>
      <c r="E33" s="439">
        <v>669</v>
      </c>
      <c r="F33" s="493">
        <f t="shared" si="5"/>
        <v>0.18818565400843881</v>
      </c>
      <c r="G33" s="439">
        <v>120</v>
      </c>
      <c r="H33" s="440">
        <f t="shared" si="6"/>
        <v>0.1895734597156398</v>
      </c>
    </row>
    <row r="34" spans="1:8" x14ac:dyDescent="0.25">
      <c r="A34" s="490">
        <v>15000</v>
      </c>
      <c r="B34" s="510" t="s">
        <v>8</v>
      </c>
      <c r="C34" s="548">
        <v>15510</v>
      </c>
      <c r="D34" s="491" t="s">
        <v>213</v>
      </c>
      <c r="E34" s="439">
        <v>76</v>
      </c>
      <c r="F34" s="493">
        <f t="shared" si="5"/>
        <v>2.1378340365682136E-2</v>
      </c>
      <c r="G34" s="439">
        <v>17</v>
      </c>
      <c r="H34" s="440">
        <f t="shared" si="6"/>
        <v>2.6856240126382307E-2</v>
      </c>
    </row>
    <row r="35" spans="1:8" x14ac:dyDescent="0.25">
      <c r="A35" s="490">
        <v>17000</v>
      </c>
      <c r="B35" s="510" t="s">
        <v>9</v>
      </c>
      <c r="C35" s="548">
        <v>17310</v>
      </c>
      <c r="D35" s="491" t="s">
        <v>210</v>
      </c>
      <c r="E35" s="439">
        <v>486</v>
      </c>
      <c r="F35" s="493">
        <f t="shared" si="5"/>
        <v>0.13670886075949368</v>
      </c>
      <c r="G35" s="439">
        <v>68</v>
      </c>
      <c r="H35" s="440">
        <f t="shared" si="6"/>
        <v>0.10742496050552923</v>
      </c>
    </row>
    <row r="36" spans="1:8" x14ac:dyDescent="0.25">
      <c r="A36" s="490">
        <v>18000</v>
      </c>
      <c r="B36" s="510" t="s">
        <v>10</v>
      </c>
      <c r="C36" s="548">
        <v>18470</v>
      </c>
      <c r="D36" s="491" t="s">
        <v>210</v>
      </c>
      <c r="E36" s="439">
        <v>524</v>
      </c>
      <c r="F36" s="493">
        <f t="shared" si="5"/>
        <v>0.14739803094233475</v>
      </c>
      <c r="G36" s="439">
        <v>82</v>
      </c>
      <c r="H36" s="440">
        <f t="shared" si="6"/>
        <v>0.12954186413902052</v>
      </c>
    </row>
    <row r="37" spans="1:8" x14ac:dyDescent="0.25">
      <c r="A37" s="490">
        <v>21000</v>
      </c>
      <c r="B37" s="510" t="s">
        <v>12</v>
      </c>
      <c r="C37" s="548">
        <v>21900</v>
      </c>
      <c r="D37" s="491" t="s">
        <v>214</v>
      </c>
      <c r="E37" s="439">
        <v>187</v>
      </c>
      <c r="F37" s="493">
        <f t="shared" si="5"/>
        <v>5.260196905766526E-2</v>
      </c>
      <c r="G37" s="439">
        <v>16</v>
      </c>
      <c r="H37" s="440">
        <f t="shared" si="6"/>
        <v>2.5276461295418641E-2</v>
      </c>
    </row>
    <row r="38" spans="1:8" x14ac:dyDescent="0.25">
      <c r="A38" s="490">
        <v>22000</v>
      </c>
      <c r="B38" s="510" t="s">
        <v>13</v>
      </c>
      <c r="C38" s="548">
        <v>22900</v>
      </c>
      <c r="D38" s="491" t="s">
        <v>214</v>
      </c>
      <c r="E38" s="439">
        <v>22</v>
      </c>
      <c r="F38" s="493">
        <f t="shared" si="5"/>
        <v>6.188466947960619E-3</v>
      </c>
      <c r="G38" s="439">
        <v>1</v>
      </c>
      <c r="H38" s="440">
        <f t="shared" si="6"/>
        <v>1.5797788309636651E-3</v>
      </c>
    </row>
    <row r="39" spans="1:8" x14ac:dyDescent="0.25">
      <c r="A39" s="490">
        <v>23000</v>
      </c>
      <c r="B39" s="510" t="s">
        <v>14</v>
      </c>
      <c r="C39" s="548">
        <v>23520</v>
      </c>
      <c r="D39" s="491" t="s">
        <v>215</v>
      </c>
      <c r="E39" s="439">
        <v>7</v>
      </c>
      <c r="F39" s="493">
        <f t="shared" si="5"/>
        <v>1.9690576652601969E-3</v>
      </c>
      <c r="G39" s="439">
        <v>2</v>
      </c>
      <c r="H39" s="440">
        <f t="shared" si="6"/>
        <v>3.1595576619273301E-3</v>
      </c>
    </row>
    <row r="40" spans="1:8" ht="15.75" thickBot="1" x14ac:dyDescent="0.3">
      <c r="A40" s="511">
        <v>28000</v>
      </c>
      <c r="B40" s="512" t="s">
        <v>19</v>
      </c>
      <c r="C40" s="549">
        <v>28140</v>
      </c>
      <c r="D40" s="550" t="s">
        <v>216</v>
      </c>
      <c r="E40" s="553">
        <v>13</v>
      </c>
      <c r="F40" s="552">
        <f t="shared" si="5"/>
        <v>3.6568213783403658E-3</v>
      </c>
      <c r="G40" s="553">
        <v>10</v>
      </c>
      <c r="H40" s="554">
        <f t="shared" si="6"/>
        <v>1.579778830963665E-2</v>
      </c>
    </row>
    <row r="41" spans="1:8" ht="15.75" thickBot="1" x14ac:dyDescent="0.3">
      <c r="A41" s="1035" t="s">
        <v>118</v>
      </c>
      <c r="B41" s="1036"/>
      <c r="C41" s="1036"/>
      <c r="D41" s="1037"/>
      <c r="E41" s="558">
        <f>SUM(E27:E40)</f>
        <v>3555</v>
      </c>
      <c r="F41" s="557">
        <f>SUM(F27:F40)</f>
        <v>1</v>
      </c>
      <c r="G41" s="558">
        <f>SUM(G27:G40)</f>
        <v>633</v>
      </c>
      <c r="H41" s="559">
        <f>SUM(H27:H40)</f>
        <v>1</v>
      </c>
    </row>
    <row r="43" spans="1:8" ht="15.75" thickBot="1" x14ac:dyDescent="0.3">
      <c r="A43" s="351">
        <v>2022</v>
      </c>
    </row>
    <row r="44" spans="1:8" x14ac:dyDescent="0.25">
      <c r="A44" s="1017" t="s">
        <v>2</v>
      </c>
      <c r="B44" s="1030" t="s">
        <v>3</v>
      </c>
      <c r="C44" s="1030" t="s">
        <v>169</v>
      </c>
      <c r="D44" s="1019" t="s">
        <v>133</v>
      </c>
      <c r="E44" s="1011" t="s">
        <v>208</v>
      </c>
      <c r="F44" s="1013"/>
      <c r="G44" s="1011" t="s">
        <v>209</v>
      </c>
      <c r="H44" s="1012"/>
    </row>
    <row r="45" spans="1:8" ht="15.75" thickBot="1" x14ac:dyDescent="0.3">
      <c r="A45" s="1029"/>
      <c r="B45" s="1031"/>
      <c r="C45" s="1031"/>
      <c r="D45" s="1032"/>
      <c r="E45" s="602" t="s">
        <v>168</v>
      </c>
      <c r="F45" s="603" t="s">
        <v>134</v>
      </c>
      <c r="G45" s="602" t="s">
        <v>168</v>
      </c>
      <c r="H45" s="604" t="s">
        <v>134</v>
      </c>
    </row>
    <row r="46" spans="1:8" ht="27" customHeight="1" x14ac:dyDescent="0.25">
      <c r="A46" s="601">
        <v>11000</v>
      </c>
      <c r="B46" s="542" t="s">
        <v>4</v>
      </c>
      <c r="C46" s="600">
        <v>11310</v>
      </c>
      <c r="D46" s="543" t="s">
        <v>210</v>
      </c>
      <c r="E46" s="546">
        <v>255</v>
      </c>
      <c r="F46" s="545">
        <f t="shared" ref="F46:F59" si="7">E46/$E$60</f>
        <v>8.5255767301905719E-2</v>
      </c>
      <c r="G46" s="546">
        <v>37</v>
      </c>
      <c r="H46" s="438">
        <f t="shared" ref="H46:H59" si="8">G46/$G$60</f>
        <v>6.851851851851852E-2</v>
      </c>
    </row>
    <row r="47" spans="1:8" x14ac:dyDescent="0.25">
      <c r="A47" s="482">
        <v>11000</v>
      </c>
      <c r="B47" s="509" t="s">
        <v>4</v>
      </c>
      <c r="C47" s="571">
        <v>11510</v>
      </c>
      <c r="D47" s="483" t="s">
        <v>211</v>
      </c>
      <c r="E47" s="486">
        <v>16</v>
      </c>
      <c r="F47" s="485">
        <f t="shared" si="7"/>
        <v>5.349381477766633E-3</v>
      </c>
      <c r="G47" s="486">
        <v>3</v>
      </c>
      <c r="H47" s="487">
        <f t="shared" si="8"/>
        <v>5.5555555555555558E-3</v>
      </c>
    </row>
    <row r="48" spans="1:8" x14ac:dyDescent="0.25">
      <c r="A48" s="482">
        <v>11000</v>
      </c>
      <c r="B48" s="509" t="s">
        <v>4</v>
      </c>
      <c r="C48" s="571">
        <v>11320</v>
      </c>
      <c r="D48" s="483" t="s">
        <v>212</v>
      </c>
      <c r="E48" s="486">
        <v>126</v>
      </c>
      <c r="F48" s="485">
        <f t="shared" si="7"/>
        <v>4.212637913741224E-2</v>
      </c>
      <c r="G48" s="486">
        <v>29</v>
      </c>
      <c r="H48" s="487">
        <f t="shared" si="8"/>
        <v>5.3703703703703705E-2</v>
      </c>
    </row>
    <row r="49" spans="1:8" x14ac:dyDescent="0.25">
      <c r="A49" s="490">
        <v>12000</v>
      </c>
      <c r="B49" s="510" t="s">
        <v>5</v>
      </c>
      <c r="C49" s="548">
        <v>12310</v>
      </c>
      <c r="D49" s="491" t="s">
        <v>210</v>
      </c>
      <c r="E49" s="439">
        <v>147</v>
      </c>
      <c r="F49" s="493">
        <f t="shared" si="7"/>
        <v>4.9147442326980942E-2</v>
      </c>
      <c r="G49" s="439">
        <v>40</v>
      </c>
      <c r="H49" s="440">
        <f t="shared" si="8"/>
        <v>7.407407407407407E-2</v>
      </c>
    </row>
    <row r="50" spans="1:8" x14ac:dyDescent="0.25">
      <c r="A50" s="490">
        <v>13000</v>
      </c>
      <c r="B50" s="510" t="s">
        <v>6</v>
      </c>
      <c r="C50" s="548">
        <v>13440</v>
      </c>
      <c r="D50" s="491" t="s">
        <v>210</v>
      </c>
      <c r="E50" s="439">
        <v>251</v>
      </c>
      <c r="F50" s="493">
        <f t="shared" si="7"/>
        <v>8.3918421932464057E-2</v>
      </c>
      <c r="G50" s="439">
        <v>17</v>
      </c>
      <c r="H50" s="440">
        <f t="shared" si="8"/>
        <v>3.1481481481481478E-2</v>
      </c>
    </row>
    <row r="51" spans="1:8" x14ac:dyDescent="0.25">
      <c r="A51" s="490">
        <v>14000</v>
      </c>
      <c r="B51" s="510" t="s">
        <v>7</v>
      </c>
      <c r="C51" s="548">
        <v>14310</v>
      </c>
      <c r="D51" s="491" t="s">
        <v>210</v>
      </c>
      <c r="E51" s="439">
        <v>374</v>
      </c>
      <c r="F51" s="493">
        <f t="shared" si="7"/>
        <v>0.12504179204279506</v>
      </c>
      <c r="G51" s="439">
        <v>81</v>
      </c>
      <c r="H51" s="440">
        <f t="shared" si="8"/>
        <v>0.15</v>
      </c>
    </row>
    <row r="52" spans="1:8" x14ac:dyDescent="0.25">
      <c r="A52" s="490">
        <v>15000</v>
      </c>
      <c r="B52" s="510" t="s">
        <v>8</v>
      </c>
      <c r="C52" s="548">
        <v>15310</v>
      </c>
      <c r="D52" s="491" t="s">
        <v>210</v>
      </c>
      <c r="E52" s="439">
        <v>630</v>
      </c>
      <c r="F52" s="493">
        <f t="shared" si="7"/>
        <v>0.21063189568706117</v>
      </c>
      <c r="G52" s="439">
        <v>91</v>
      </c>
      <c r="H52" s="440">
        <f t="shared" si="8"/>
        <v>0.16851851851851851</v>
      </c>
    </row>
    <row r="53" spans="1:8" x14ac:dyDescent="0.25">
      <c r="A53" s="490">
        <v>15000</v>
      </c>
      <c r="B53" s="510" t="s">
        <v>8</v>
      </c>
      <c r="C53" s="548">
        <v>15510</v>
      </c>
      <c r="D53" s="491" t="s">
        <v>213</v>
      </c>
      <c r="E53" s="439">
        <v>68</v>
      </c>
      <c r="F53" s="493">
        <f t="shared" si="7"/>
        <v>2.273487128050819E-2</v>
      </c>
      <c r="G53" s="439">
        <v>18</v>
      </c>
      <c r="H53" s="440">
        <f t="shared" si="8"/>
        <v>3.3333333333333333E-2</v>
      </c>
    </row>
    <row r="54" spans="1:8" x14ac:dyDescent="0.25">
      <c r="A54" s="490">
        <v>17000</v>
      </c>
      <c r="B54" s="510" t="s">
        <v>9</v>
      </c>
      <c r="C54" s="548">
        <v>17310</v>
      </c>
      <c r="D54" s="491" t="s">
        <v>210</v>
      </c>
      <c r="E54" s="439">
        <v>434</v>
      </c>
      <c r="F54" s="493">
        <f t="shared" si="7"/>
        <v>0.14510197258441992</v>
      </c>
      <c r="G54" s="439">
        <v>83</v>
      </c>
      <c r="H54" s="440">
        <f t="shared" si="8"/>
        <v>0.1537037037037037</v>
      </c>
    </row>
    <row r="55" spans="1:8" x14ac:dyDescent="0.25">
      <c r="A55" s="490">
        <v>18000</v>
      </c>
      <c r="B55" s="510" t="s">
        <v>10</v>
      </c>
      <c r="C55" s="548">
        <v>18470</v>
      </c>
      <c r="D55" s="491" t="s">
        <v>210</v>
      </c>
      <c r="E55" s="439">
        <v>508</v>
      </c>
      <c r="F55" s="493">
        <f t="shared" si="7"/>
        <v>0.16984286191909059</v>
      </c>
      <c r="G55" s="439">
        <v>64</v>
      </c>
      <c r="H55" s="440">
        <f t="shared" si="8"/>
        <v>0.11851851851851852</v>
      </c>
    </row>
    <row r="56" spans="1:8" x14ac:dyDescent="0.25">
      <c r="A56" s="490">
        <v>21000</v>
      </c>
      <c r="B56" s="510" t="s">
        <v>12</v>
      </c>
      <c r="C56" s="548">
        <v>21900</v>
      </c>
      <c r="D56" s="491" t="s">
        <v>214</v>
      </c>
      <c r="E56" s="439">
        <v>145</v>
      </c>
      <c r="F56" s="493">
        <f t="shared" si="7"/>
        <v>4.8478769642260111E-2</v>
      </c>
      <c r="G56" s="439">
        <v>67</v>
      </c>
      <c r="H56" s="440">
        <f t="shared" si="8"/>
        <v>0.12407407407407407</v>
      </c>
    </row>
    <row r="57" spans="1:8" x14ac:dyDescent="0.25">
      <c r="A57" s="490">
        <v>22000</v>
      </c>
      <c r="B57" s="510" t="s">
        <v>13</v>
      </c>
      <c r="C57" s="548">
        <v>22900</v>
      </c>
      <c r="D57" s="491" t="s">
        <v>214</v>
      </c>
      <c r="E57" s="439">
        <v>1</v>
      </c>
      <c r="F57" s="493">
        <f t="shared" si="7"/>
        <v>3.3433634236041456E-4</v>
      </c>
      <c r="G57" s="439">
        <v>2</v>
      </c>
      <c r="H57" s="440">
        <f t="shared" si="8"/>
        <v>3.7037037037037038E-3</v>
      </c>
    </row>
    <row r="58" spans="1:8" x14ac:dyDescent="0.25">
      <c r="A58" s="490">
        <v>23000</v>
      </c>
      <c r="B58" s="510" t="s">
        <v>14</v>
      </c>
      <c r="C58" s="548">
        <v>23520</v>
      </c>
      <c r="D58" s="491" t="s">
        <v>215</v>
      </c>
      <c r="E58" s="439">
        <v>8</v>
      </c>
      <c r="F58" s="493">
        <f t="shared" si="7"/>
        <v>2.6746907388833165E-3</v>
      </c>
      <c r="G58" s="439">
        <v>1</v>
      </c>
      <c r="H58" s="440">
        <f t="shared" si="8"/>
        <v>1.8518518518518519E-3</v>
      </c>
    </row>
    <row r="59" spans="1:8" ht="15.75" thickBot="1" x14ac:dyDescent="0.3">
      <c r="A59" s="511">
        <v>28000</v>
      </c>
      <c r="B59" s="512" t="s">
        <v>19</v>
      </c>
      <c r="C59" s="549">
        <v>28140</v>
      </c>
      <c r="D59" s="550" t="s">
        <v>216</v>
      </c>
      <c r="E59" s="553">
        <v>28</v>
      </c>
      <c r="F59" s="552">
        <f t="shared" si="7"/>
        <v>9.3614175860916079E-3</v>
      </c>
      <c r="G59" s="553">
        <v>7</v>
      </c>
      <c r="H59" s="554">
        <f t="shared" si="8"/>
        <v>1.2962962962962963E-2</v>
      </c>
    </row>
    <row r="60" spans="1:8" ht="15.75" thickBot="1" x14ac:dyDescent="0.3">
      <c r="A60" s="1035" t="s">
        <v>118</v>
      </c>
      <c r="B60" s="1036"/>
      <c r="C60" s="1036"/>
      <c r="D60" s="1037"/>
      <c r="E60" s="558">
        <f>SUM(E46:E59)</f>
        <v>2991</v>
      </c>
      <c r="F60" s="557">
        <f>SUM(F46:F59)</f>
        <v>1</v>
      </c>
      <c r="G60" s="558">
        <f>SUM(G46:G59)</f>
        <v>540</v>
      </c>
      <c r="H60" s="559">
        <f>SUM(H46:H59)</f>
        <v>1</v>
      </c>
    </row>
    <row r="61" spans="1:8" ht="15.75" thickBot="1" x14ac:dyDescent="0.3">
      <c r="A61" s="351"/>
      <c r="B61" s="351"/>
      <c r="C61" s="351"/>
      <c r="D61" s="351"/>
      <c r="E61" s="612"/>
      <c r="F61" s="838"/>
      <c r="G61" s="612"/>
      <c r="H61" s="839"/>
    </row>
    <row r="62" spans="1:8" x14ac:dyDescent="0.25">
      <c r="A62" s="1017" t="s">
        <v>2</v>
      </c>
      <c r="B62" s="1030" t="s">
        <v>3</v>
      </c>
      <c r="C62" s="1030" t="s">
        <v>169</v>
      </c>
      <c r="D62" s="1019" t="s">
        <v>133</v>
      </c>
      <c r="E62" s="1011" t="s">
        <v>208</v>
      </c>
      <c r="F62" s="1013"/>
      <c r="G62" s="1011" t="s">
        <v>209</v>
      </c>
      <c r="H62" s="1012"/>
    </row>
    <row r="63" spans="1:8" ht="15.75" thickBot="1" x14ac:dyDescent="0.3">
      <c r="A63" s="1029"/>
      <c r="B63" s="1031"/>
      <c r="C63" s="1031"/>
      <c r="D63" s="1032"/>
      <c r="E63" s="602" t="s">
        <v>168</v>
      </c>
      <c r="F63" s="603" t="s">
        <v>134</v>
      </c>
      <c r="G63" s="602" t="s">
        <v>168</v>
      </c>
      <c r="H63" s="604" t="s">
        <v>134</v>
      </c>
    </row>
    <row r="64" spans="1:8" x14ac:dyDescent="0.25">
      <c r="A64" s="601">
        <v>11000</v>
      </c>
      <c r="B64" s="542" t="s">
        <v>4</v>
      </c>
      <c r="C64" s="600">
        <v>11310</v>
      </c>
      <c r="D64" s="543" t="s">
        <v>210</v>
      </c>
      <c r="E64" s="546">
        <v>225</v>
      </c>
      <c r="F64" s="545">
        <f t="shared" ref="F64:F77" si="9">E64/$E$78</f>
        <v>8.5877862595419852E-2</v>
      </c>
      <c r="G64" s="546">
        <v>33</v>
      </c>
      <c r="H64" s="438">
        <f t="shared" ref="H64:H77" si="10">G64/$G$78</f>
        <v>6.2977099236641215E-2</v>
      </c>
    </row>
    <row r="65" spans="1:8" x14ac:dyDescent="0.25">
      <c r="A65" s="482">
        <v>11000</v>
      </c>
      <c r="B65" s="509" t="s">
        <v>4</v>
      </c>
      <c r="C65" s="571">
        <v>11510</v>
      </c>
      <c r="D65" s="483" t="s">
        <v>211</v>
      </c>
      <c r="E65" s="486">
        <v>15</v>
      </c>
      <c r="F65" s="485">
        <f t="shared" si="9"/>
        <v>5.7251908396946565E-3</v>
      </c>
      <c r="G65" s="486">
        <v>2</v>
      </c>
      <c r="H65" s="487">
        <f t="shared" si="10"/>
        <v>3.8167938931297708E-3</v>
      </c>
    </row>
    <row r="66" spans="1:8" ht="27" customHeight="1" x14ac:dyDescent="0.25">
      <c r="A66" s="482">
        <v>11000</v>
      </c>
      <c r="B66" s="509" t="s">
        <v>4</v>
      </c>
      <c r="C66" s="571">
        <v>11320</v>
      </c>
      <c r="D66" s="483" t="s">
        <v>212</v>
      </c>
      <c r="E66" s="486">
        <v>124</v>
      </c>
      <c r="F66" s="485">
        <f t="shared" si="9"/>
        <v>4.732824427480916E-2</v>
      </c>
      <c r="G66" s="486">
        <v>37</v>
      </c>
      <c r="H66" s="487">
        <f t="shared" si="10"/>
        <v>7.061068702290077E-2</v>
      </c>
    </row>
    <row r="67" spans="1:8" x14ac:dyDescent="0.25">
      <c r="A67" s="490">
        <v>12000</v>
      </c>
      <c r="B67" s="510" t="s">
        <v>5</v>
      </c>
      <c r="C67" s="548">
        <v>12310</v>
      </c>
      <c r="D67" s="491" t="s">
        <v>210</v>
      </c>
      <c r="E67" s="439">
        <v>178</v>
      </c>
      <c r="F67" s="493">
        <f t="shared" si="9"/>
        <v>6.793893129770992E-2</v>
      </c>
      <c r="G67" s="439">
        <v>25</v>
      </c>
      <c r="H67" s="440">
        <f t="shared" si="10"/>
        <v>4.7709923664122141E-2</v>
      </c>
    </row>
    <row r="68" spans="1:8" x14ac:dyDescent="0.25">
      <c r="A68" s="490">
        <v>13000</v>
      </c>
      <c r="B68" s="510" t="s">
        <v>6</v>
      </c>
      <c r="C68" s="548">
        <v>13440</v>
      </c>
      <c r="D68" s="491" t="s">
        <v>210</v>
      </c>
      <c r="E68" s="439">
        <v>194</v>
      </c>
      <c r="F68" s="493">
        <f t="shared" si="9"/>
        <v>7.4045801526717553E-2</v>
      </c>
      <c r="G68" s="439">
        <v>22</v>
      </c>
      <c r="H68" s="440">
        <f t="shared" si="10"/>
        <v>4.1984732824427481E-2</v>
      </c>
    </row>
    <row r="69" spans="1:8" x14ac:dyDescent="0.25">
      <c r="A69" s="490">
        <v>14000</v>
      </c>
      <c r="B69" s="510" t="s">
        <v>7</v>
      </c>
      <c r="C69" s="548">
        <v>14310</v>
      </c>
      <c r="D69" s="491" t="s">
        <v>210</v>
      </c>
      <c r="E69" s="439">
        <v>352</v>
      </c>
      <c r="F69" s="493">
        <f t="shared" si="9"/>
        <v>0.13435114503816795</v>
      </c>
      <c r="G69" s="439">
        <v>88</v>
      </c>
      <c r="H69" s="440">
        <f t="shared" si="10"/>
        <v>0.16793893129770993</v>
      </c>
    </row>
    <row r="70" spans="1:8" x14ac:dyDescent="0.25">
      <c r="A70" s="490">
        <v>15000</v>
      </c>
      <c r="B70" s="510" t="s">
        <v>8</v>
      </c>
      <c r="C70" s="548">
        <v>15310</v>
      </c>
      <c r="D70" s="491" t="s">
        <v>210</v>
      </c>
      <c r="E70" s="439">
        <v>545</v>
      </c>
      <c r="F70" s="493">
        <f t="shared" si="9"/>
        <v>0.20801526717557253</v>
      </c>
      <c r="G70" s="439">
        <v>91</v>
      </c>
      <c r="H70" s="440">
        <f t="shared" si="10"/>
        <v>0.17366412213740459</v>
      </c>
    </row>
    <row r="71" spans="1:8" x14ac:dyDescent="0.25">
      <c r="A71" s="490">
        <v>15000</v>
      </c>
      <c r="B71" s="510" t="s">
        <v>8</v>
      </c>
      <c r="C71" s="548">
        <v>15510</v>
      </c>
      <c r="D71" s="491" t="s">
        <v>213</v>
      </c>
      <c r="E71" s="439">
        <v>67</v>
      </c>
      <c r="F71" s="493">
        <f t="shared" si="9"/>
        <v>2.5572519083969465E-2</v>
      </c>
      <c r="G71" s="439">
        <v>10</v>
      </c>
      <c r="H71" s="440">
        <f t="shared" si="10"/>
        <v>1.9083969465648856E-2</v>
      </c>
    </row>
    <row r="72" spans="1:8" x14ac:dyDescent="0.25">
      <c r="A72" s="490">
        <v>17000</v>
      </c>
      <c r="B72" s="510" t="s">
        <v>9</v>
      </c>
      <c r="C72" s="548">
        <v>17310</v>
      </c>
      <c r="D72" s="491" t="s">
        <v>210</v>
      </c>
      <c r="E72" s="439">
        <v>381</v>
      </c>
      <c r="F72" s="493">
        <f t="shared" si="9"/>
        <v>0.14541984732824428</v>
      </c>
      <c r="G72" s="439">
        <v>82</v>
      </c>
      <c r="H72" s="440">
        <f t="shared" si="10"/>
        <v>0.15648854961832062</v>
      </c>
    </row>
    <row r="73" spans="1:8" x14ac:dyDescent="0.25">
      <c r="A73" s="490">
        <v>18000</v>
      </c>
      <c r="B73" s="510" t="s">
        <v>10</v>
      </c>
      <c r="C73" s="548">
        <v>18470</v>
      </c>
      <c r="D73" s="491" t="s">
        <v>210</v>
      </c>
      <c r="E73" s="439">
        <v>332</v>
      </c>
      <c r="F73" s="493">
        <f t="shared" si="9"/>
        <v>0.12671755725190839</v>
      </c>
      <c r="G73" s="439">
        <v>56</v>
      </c>
      <c r="H73" s="440">
        <f t="shared" si="10"/>
        <v>0.10687022900763359</v>
      </c>
    </row>
    <row r="74" spans="1:8" x14ac:dyDescent="0.25">
      <c r="A74" s="490">
        <v>21000</v>
      </c>
      <c r="B74" s="510" t="s">
        <v>12</v>
      </c>
      <c r="C74" s="548">
        <v>21900</v>
      </c>
      <c r="D74" s="491" t="s">
        <v>214</v>
      </c>
      <c r="E74" s="439">
        <v>174</v>
      </c>
      <c r="F74" s="493">
        <f t="shared" si="9"/>
        <v>6.6412213740458012E-2</v>
      </c>
      <c r="G74" s="439">
        <v>56</v>
      </c>
      <c r="H74" s="440">
        <f t="shared" si="10"/>
        <v>0.10687022900763359</v>
      </c>
    </row>
    <row r="75" spans="1:8" x14ac:dyDescent="0.25">
      <c r="A75" s="490">
        <v>22000</v>
      </c>
      <c r="B75" s="510" t="s">
        <v>13</v>
      </c>
      <c r="C75" s="548">
        <v>22900</v>
      </c>
      <c r="D75" s="491" t="s">
        <v>214</v>
      </c>
      <c r="E75" s="439">
        <v>2</v>
      </c>
      <c r="F75" s="493">
        <f t="shared" si="9"/>
        <v>7.6335877862595419E-4</v>
      </c>
      <c r="G75" s="439">
        <v>4</v>
      </c>
      <c r="H75" s="440">
        <f t="shared" si="10"/>
        <v>7.6335877862595417E-3</v>
      </c>
    </row>
    <row r="76" spans="1:8" x14ac:dyDescent="0.25">
      <c r="A76" s="490">
        <v>23000</v>
      </c>
      <c r="B76" s="510" t="s">
        <v>14</v>
      </c>
      <c r="C76" s="548">
        <v>23520</v>
      </c>
      <c r="D76" s="491" t="s">
        <v>215</v>
      </c>
      <c r="E76" s="439">
        <v>8</v>
      </c>
      <c r="F76" s="493">
        <f t="shared" si="9"/>
        <v>3.0534351145038168E-3</v>
      </c>
      <c r="G76" s="439">
        <v>4</v>
      </c>
      <c r="H76" s="440">
        <f t="shared" si="10"/>
        <v>7.6335877862595417E-3</v>
      </c>
    </row>
    <row r="77" spans="1:8" ht="15.75" thickBot="1" x14ac:dyDescent="0.3">
      <c r="A77" s="511">
        <v>28000</v>
      </c>
      <c r="B77" s="512" t="s">
        <v>19</v>
      </c>
      <c r="C77" s="549">
        <v>28140</v>
      </c>
      <c r="D77" s="550" t="s">
        <v>216</v>
      </c>
      <c r="E77" s="553">
        <v>23</v>
      </c>
      <c r="F77" s="552">
        <f t="shared" si="9"/>
        <v>8.7786259541984737E-3</v>
      </c>
      <c r="G77" s="553">
        <v>14</v>
      </c>
      <c r="H77" s="554">
        <f t="shared" si="10"/>
        <v>2.6717557251908396E-2</v>
      </c>
    </row>
    <row r="78" spans="1:8" ht="15.75" thickBot="1" x14ac:dyDescent="0.3">
      <c r="A78" s="1035" t="s">
        <v>118</v>
      </c>
      <c r="B78" s="1036"/>
      <c r="C78" s="1036"/>
      <c r="D78" s="1037"/>
      <c r="E78" s="558">
        <f>SUM(E64:E77)</f>
        <v>2620</v>
      </c>
      <c r="F78" s="557">
        <f>SUM(F64:F77)</f>
        <v>1</v>
      </c>
      <c r="G78" s="558">
        <f>SUM(G64:G77)</f>
        <v>524</v>
      </c>
      <c r="H78" s="559">
        <f>SUM(H64:H77)</f>
        <v>0.99999999999999989</v>
      </c>
    </row>
    <row r="79" spans="1:8" x14ac:dyDescent="0.25">
      <c r="A79" s="351"/>
      <c r="B79" s="351"/>
      <c r="C79" s="351"/>
      <c r="D79" s="351"/>
      <c r="E79" s="612"/>
      <c r="F79" s="838"/>
      <c r="G79" s="612"/>
      <c r="H79" s="839" t="s">
        <v>283</v>
      </c>
    </row>
    <row r="80" spans="1:8" x14ac:dyDescent="0.25">
      <c r="A80" s="609" t="s">
        <v>252</v>
      </c>
    </row>
  </sheetData>
  <mergeCells count="32">
    <mergeCell ref="A78:D78"/>
    <mergeCell ref="E44:F44"/>
    <mergeCell ref="G44:H44"/>
    <mergeCell ref="A60:D60"/>
    <mergeCell ref="A62:A63"/>
    <mergeCell ref="B62:B63"/>
    <mergeCell ref="C62:C63"/>
    <mergeCell ref="D62:D63"/>
    <mergeCell ref="E62:F62"/>
    <mergeCell ref="G62:H62"/>
    <mergeCell ref="A41:D41"/>
    <mergeCell ref="A44:A45"/>
    <mergeCell ref="B44:B45"/>
    <mergeCell ref="C44:C45"/>
    <mergeCell ref="D44:D45"/>
    <mergeCell ref="I6:J6"/>
    <mergeCell ref="G6:H6"/>
    <mergeCell ref="E6:F6"/>
    <mergeCell ref="A22:D22"/>
    <mergeCell ref="A25:A26"/>
    <mergeCell ref="B25:B26"/>
    <mergeCell ref="C25:C26"/>
    <mergeCell ref="D25:D26"/>
    <mergeCell ref="E25:F25"/>
    <mergeCell ref="G25:H25"/>
    <mergeCell ref="A3:C3"/>
    <mergeCell ref="E5:F5"/>
    <mergeCell ref="G5:H5"/>
    <mergeCell ref="A6:A7"/>
    <mergeCell ref="B6:B7"/>
    <mergeCell ref="C6:C7"/>
    <mergeCell ref="D6:D7"/>
  </mergeCells>
  <hyperlinks>
    <hyperlink ref="A80" location="'0 Seznam'!A1" display="Seznam" xr:uid="{E58A2FC9-BEAD-4AF9-8A50-ECE1DD6F8881}"/>
  </hyperlinks>
  <pageMargins left="0.70866141732283472" right="0.70866141732283472" top="0.78740157480314965" bottom="0.78740157480314965" header="0.31496062992125984" footer="0.31496062992125984"/>
  <pageSetup paperSize="8" scale="73" orientation="landscape" r:id="rId1"/>
  <headerFooter>
    <oddHeader xml:space="preserve">&amp;LČ. j.:999/2024-1
</oddHeader>
  </headerFooter>
  <ignoredErrors>
    <ignoredError sqref="J20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S73"/>
  <sheetViews>
    <sheetView zoomScale="70" zoomScaleNormal="70" workbookViewId="0">
      <selection activeCell="B28" sqref="B28"/>
    </sheetView>
  </sheetViews>
  <sheetFormatPr defaultRowHeight="15" x14ac:dyDescent="0.25"/>
  <cols>
    <col min="2" max="2" width="61.140625" customWidth="1"/>
    <col min="3" max="3" width="18" customWidth="1"/>
    <col min="4" max="4" width="22.5703125" customWidth="1"/>
    <col min="5" max="5" width="18" customWidth="1"/>
    <col min="6" max="6" width="24" customWidth="1"/>
    <col min="7" max="7" width="18" customWidth="1"/>
    <col min="8" max="8" width="20.85546875" customWidth="1"/>
    <col min="9" max="14" width="18" customWidth="1"/>
    <col min="15" max="15" width="21.5703125" customWidth="1"/>
    <col min="16" max="16" width="23.42578125" customWidth="1"/>
    <col min="17" max="17" width="20.7109375" customWidth="1"/>
  </cols>
  <sheetData>
    <row r="1" spans="1:15" ht="27.75" x14ac:dyDescent="0.4">
      <c r="A1" s="12" t="s">
        <v>302</v>
      </c>
      <c r="B1" s="13"/>
      <c r="C1" s="13"/>
      <c r="D1" s="13"/>
      <c r="E1" s="13"/>
      <c r="F1" s="13"/>
      <c r="G1" s="13"/>
      <c r="H1" s="13"/>
      <c r="I1" s="13"/>
    </row>
    <row r="2" spans="1:15" ht="28.5" x14ac:dyDescent="0.45">
      <c r="A2" s="14" t="s">
        <v>32</v>
      </c>
      <c r="B2" s="15"/>
      <c r="C2" s="15"/>
      <c r="D2" s="15"/>
      <c r="E2" s="15"/>
      <c r="F2" s="15"/>
      <c r="G2" s="15"/>
      <c r="H2" s="15"/>
      <c r="I2" s="15"/>
    </row>
    <row r="3" spans="1:15" ht="28.5" x14ac:dyDescent="0.45">
      <c r="A3" s="14"/>
      <c r="B3" s="15"/>
      <c r="C3" s="15"/>
      <c r="D3" s="15"/>
      <c r="E3" s="15"/>
      <c r="F3" s="15"/>
      <c r="G3" s="15"/>
      <c r="H3" s="15"/>
      <c r="I3" s="15"/>
    </row>
    <row r="4" spans="1:15" x14ac:dyDescent="0.25">
      <c r="A4" s="15"/>
      <c r="B4" s="16" t="s">
        <v>33</v>
      </c>
      <c r="C4" s="17">
        <f>'1 Bilance'!O19</f>
        <v>24075099832</v>
      </c>
      <c r="D4" s="16" t="s">
        <v>34</v>
      </c>
      <c r="E4" s="15"/>
      <c r="F4" s="15"/>
      <c r="G4" s="15"/>
      <c r="H4" s="15"/>
      <c r="I4" s="15"/>
    </row>
    <row r="5" spans="1:15" x14ac:dyDescent="0.25">
      <c r="A5" s="15"/>
      <c r="B5" s="16" t="s">
        <v>37</v>
      </c>
      <c r="C5" s="17">
        <f>'1 Bilance'!O16</f>
        <v>18430561474</v>
      </c>
      <c r="D5" s="16" t="s">
        <v>34</v>
      </c>
      <c r="E5" s="16" t="s">
        <v>35</v>
      </c>
      <c r="F5" s="26">
        <f>C5/$C$4</f>
        <v>0.76554455028687252</v>
      </c>
      <c r="G5" s="15"/>
      <c r="H5" s="16" t="s">
        <v>40</v>
      </c>
      <c r="I5" s="27">
        <f>C5/($C$5+$C$6)</f>
        <v>0.7938288090072162</v>
      </c>
      <c r="K5" s="17"/>
      <c r="L5" s="17"/>
      <c r="M5" s="17"/>
    </row>
    <row r="6" spans="1:15" x14ac:dyDescent="0.25">
      <c r="A6" s="15"/>
      <c r="B6" s="16" t="s">
        <v>38</v>
      </c>
      <c r="C6" s="17">
        <f>'1 Bilance'!O17</f>
        <v>4786738358</v>
      </c>
      <c r="D6" s="16" t="s">
        <v>34</v>
      </c>
      <c r="E6" s="16" t="s">
        <v>35</v>
      </c>
      <c r="F6" s="26">
        <f>C6/$C$4</f>
        <v>0.19882527555036725</v>
      </c>
      <c r="G6" s="15"/>
      <c r="H6" s="16" t="s">
        <v>40</v>
      </c>
      <c r="I6" s="27">
        <f>C6/($C$5+$C$6)</f>
        <v>0.20617119099278383</v>
      </c>
      <c r="K6" s="17"/>
      <c r="L6" s="17"/>
      <c r="M6" s="17"/>
    </row>
    <row r="7" spans="1:15" x14ac:dyDescent="0.25">
      <c r="A7" s="15"/>
      <c r="B7" s="16" t="s">
        <v>39</v>
      </c>
      <c r="C7" s="17">
        <f>'1 Bilance'!O18</f>
        <v>857800000</v>
      </c>
      <c r="D7" s="16" t="s">
        <v>34</v>
      </c>
      <c r="E7" s="16" t="s">
        <v>35</v>
      </c>
      <c r="F7" s="26">
        <f>C7/$C$4</f>
        <v>3.563017416276025E-2</v>
      </c>
      <c r="G7" s="15"/>
      <c r="H7" s="15"/>
      <c r="I7" s="15"/>
    </row>
    <row r="8" spans="1:15" x14ac:dyDescent="0.25">
      <c r="A8" s="15"/>
      <c r="B8" s="13" t="s">
        <v>45</v>
      </c>
      <c r="C8" s="352">
        <v>600000000</v>
      </c>
      <c r="D8" s="13" t="s">
        <v>34</v>
      </c>
      <c r="E8" s="16"/>
      <c r="F8" s="26"/>
      <c r="G8" s="15"/>
      <c r="H8" s="15"/>
      <c r="I8" s="15"/>
    </row>
    <row r="9" spans="1:15" x14ac:dyDescent="0.25">
      <c r="A9" s="15"/>
      <c r="B9" s="13" t="s">
        <v>46</v>
      </c>
      <c r="C9" s="352">
        <v>115000000</v>
      </c>
      <c r="D9" s="13" t="s">
        <v>34</v>
      </c>
      <c r="E9" s="15"/>
      <c r="F9" s="15"/>
      <c r="G9" s="15"/>
      <c r="H9" s="15"/>
      <c r="I9" s="18"/>
      <c r="J9" s="16"/>
      <c r="K9" s="18"/>
      <c r="L9" s="18"/>
      <c r="M9" s="18"/>
    </row>
    <row r="10" spans="1:15" x14ac:dyDescent="0.25">
      <c r="A10" s="15"/>
      <c r="B10" s="13" t="s">
        <v>122</v>
      </c>
      <c r="C10" s="352">
        <v>85000000</v>
      </c>
      <c r="D10" s="13" t="s">
        <v>34</v>
      </c>
      <c r="E10" s="15"/>
      <c r="F10" s="15"/>
      <c r="G10" s="15"/>
      <c r="H10" s="15"/>
      <c r="I10" s="654"/>
      <c r="J10" s="655"/>
      <c r="K10" s="18"/>
      <c r="L10" s="18"/>
      <c r="M10" s="18"/>
    </row>
    <row r="11" spans="1:15" x14ac:dyDescent="0.25">
      <c r="A11" s="15"/>
      <c r="B11" s="13" t="s">
        <v>251</v>
      </c>
      <c r="C11" s="352">
        <v>30000000</v>
      </c>
      <c r="D11" s="13" t="s">
        <v>34</v>
      </c>
      <c r="E11" s="15"/>
      <c r="F11" s="15"/>
      <c r="G11" s="15"/>
      <c r="H11" s="15"/>
      <c r="I11" s="18"/>
      <c r="J11" s="16"/>
      <c r="K11" s="18"/>
      <c r="L11" s="18"/>
      <c r="M11" s="18"/>
    </row>
    <row r="12" spans="1:15" x14ac:dyDescent="0.25">
      <c r="A12" s="15"/>
      <c r="B12" s="13" t="s">
        <v>276</v>
      </c>
      <c r="C12" s="352">
        <v>21000000</v>
      </c>
      <c r="D12" s="13" t="s">
        <v>34</v>
      </c>
      <c r="E12" s="15"/>
      <c r="F12" s="15"/>
      <c r="G12" s="15"/>
      <c r="H12" s="15"/>
      <c r="I12" s="18"/>
      <c r="J12" s="16"/>
      <c r="K12" s="18"/>
      <c r="L12" s="18"/>
      <c r="M12" s="18"/>
    </row>
    <row r="13" spans="1:15" x14ac:dyDescent="0.25">
      <c r="A13" s="15"/>
      <c r="B13" s="13" t="s">
        <v>123</v>
      </c>
      <c r="C13" s="352">
        <v>6800000</v>
      </c>
      <c r="D13" s="13" t="s">
        <v>34</v>
      </c>
      <c r="E13" s="15"/>
      <c r="F13" s="15"/>
      <c r="G13" s="15"/>
      <c r="H13" s="15"/>
      <c r="I13" s="18"/>
      <c r="K13" s="18"/>
      <c r="L13" s="18"/>
      <c r="M13" s="18"/>
      <c r="O13" s="39"/>
    </row>
    <row r="14" spans="1:15" ht="15.75" thickBot="1" x14ac:dyDescent="0.3">
      <c r="A14" s="15"/>
      <c r="B14" s="16"/>
      <c r="C14" s="15"/>
      <c r="D14" s="15"/>
      <c r="E14" s="15"/>
      <c r="F14" s="15"/>
      <c r="G14" s="15"/>
      <c r="H14" s="15"/>
      <c r="I14" s="18"/>
      <c r="K14" s="18"/>
      <c r="L14" s="18"/>
      <c r="M14" s="18"/>
      <c r="O14" s="39" t="s">
        <v>0</v>
      </c>
    </row>
    <row r="15" spans="1:15" ht="15" customHeight="1" x14ac:dyDescent="0.25">
      <c r="A15" s="988" t="s">
        <v>2</v>
      </c>
      <c r="B15" s="983" t="s">
        <v>3</v>
      </c>
      <c r="C15" s="1053" t="s">
        <v>41</v>
      </c>
      <c r="D15" s="1054"/>
      <c r="E15" s="1054"/>
      <c r="F15" s="1055"/>
      <c r="G15" s="1056" t="s">
        <v>42</v>
      </c>
      <c r="H15" s="1057"/>
      <c r="I15" s="1064" t="s">
        <v>1</v>
      </c>
      <c r="J15" s="1065"/>
      <c r="K15" s="1065"/>
      <c r="L15" s="1065"/>
      <c r="M15" s="1065"/>
      <c r="N15" s="1066"/>
      <c r="O15" s="1046" t="s">
        <v>36</v>
      </c>
    </row>
    <row r="16" spans="1:15" ht="30.75" customHeight="1" x14ac:dyDescent="0.25">
      <c r="A16" s="1045"/>
      <c r="B16" s="1044"/>
      <c r="C16" s="1042" t="s">
        <v>29</v>
      </c>
      <c r="D16" s="1051" t="s">
        <v>30</v>
      </c>
      <c r="E16" s="1038" t="s">
        <v>258</v>
      </c>
      <c r="F16" s="1062" t="s">
        <v>31</v>
      </c>
      <c r="G16" s="1060" t="s">
        <v>29</v>
      </c>
      <c r="H16" s="1058" t="s">
        <v>30</v>
      </c>
      <c r="I16" s="1049" t="s">
        <v>43</v>
      </c>
      <c r="J16" s="1040" t="s">
        <v>44</v>
      </c>
      <c r="K16" s="1040" t="s">
        <v>105</v>
      </c>
      <c r="L16" s="1040" t="s">
        <v>193</v>
      </c>
      <c r="M16" s="1038" t="s">
        <v>277</v>
      </c>
      <c r="N16" s="1040" t="s">
        <v>106</v>
      </c>
      <c r="O16" s="1047"/>
    </row>
    <row r="17" spans="1:19" ht="86.25" customHeight="1" thickBot="1" x14ac:dyDescent="0.3">
      <c r="A17" s="989"/>
      <c r="B17" s="984"/>
      <c r="C17" s="1043"/>
      <c r="D17" s="1052"/>
      <c r="E17" s="1039"/>
      <c r="F17" s="1063"/>
      <c r="G17" s="1061"/>
      <c r="H17" s="1059"/>
      <c r="I17" s="1050"/>
      <c r="J17" s="1041"/>
      <c r="K17" s="1041"/>
      <c r="L17" s="1041"/>
      <c r="M17" s="1039"/>
      <c r="N17" s="1041"/>
      <c r="O17" s="1048"/>
    </row>
    <row r="18" spans="1:19" x14ac:dyDescent="0.25">
      <c r="A18" s="29">
        <v>11000</v>
      </c>
      <c r="B18" s="31" t="s">
        <v>4</v>
      </c>
      <c r="C18" s="30">
        <v>0.17769266393013733</v>
      </c>
      <c r="D18" s="1">
        <f>ROUND(C18*$C$5,0)</f>
        <v>3274975566</v>
      </c>
      <c r="E18" s="1"/>
      <c r="F18" s="2">
        <f>D18-E18</f>
        <v>3274975566</v>
      </c>
      <c r="G18" s="33">
        <f>'2d Výkonová část segment 4'!V6</f>
        <v>0.20356499677527215</v>
      </c>
      <c r="H18" s="2">
        <f>ROUND(G18*$C$6,0)</f>
        <v>974412378</v>
      </c>
      <c r="I18" s="301">
        <f>SUMIF('3a Ukazatel P - lékařské fakult'!$A$6:$A$13,'4 RO I'!A18,'3a Ukazatel P - lékařské fakult'!$E$6:$E$13)</f>
        <v>381851937</v>
      </c>
      <c r="J18" s="302">
        <f>SUMIF('3b Ukazatel P - Pedagog. fak.'!$A$8:$A$16,'4 RO I'!A18,'3b Ukazatel P - Pedagog. fak.'!$P$8:$P$16)</f>
        <v>17556565</v>
      </c>
      <c r="K18" s="302">
        <f>SUMIF('3c Ukazatel P - pedagogické SP'!$B$10:$B$26,'4 RO I'!A18,'3c Ukazatel P - pedagogické SP'!$I$10:$I$26)</f>
        <v>14739635</v>
      </c>
      <c r="L18" s="532">
        <f>SUMIF('3d Ukazatel P - deficitní aprob'!$A$8:$A$21,'4 RO I'!A18,'3d Ukazatel P - deficitní aprob'!$J$8:$J$21)</f>
        <v>3944413</v>
      </c>
      <c r="M18" s="532"/>
      <c r="N18" s="303"/>
      <c r="O18" s="295">
        <f>ROUND(SUM(F18,H18,I18:N18),0)</f>
        <v>4667480494</v>
      </c>
      <c r="P18" s="607"/>
      <c r="R18" s="849"/>
      <c r="S18" s="606"/>
    </row>
    <row r="19" spans="1:19" x14ac:dyDescent="0.25">
      <c r="A19" s="28">
        <v>12000</v>
      </c>
      <c r="B19" s="32" t="s">
        <v>5</v>
      </c>
      <c r="C19" s="20">
        <v>3.082602439109907E-2</v>
      </c>
      <c r="D19" s="4">
        <f t="shared" ref="D19:D43" si="0">ROUND(C19*$C$5,0)</f>
        <v>568140938</v>
      </c>
      <c r="E19" s="4"/>
      <c r="F19" s="5">
        <f t="shared" ref="F19:F43" si="1">D19-E19</f>
        <v>568140938</v>
      </c>
      <c r="G19" s="34">
        <f>'2c Výkonová část segment 3'!V6</f>
        <v>2.8930725257670802E-2</v>
      </c>
      <c r="H19" s="5">
        <f t="shared" ref="H19:H43" si="2">ROUND(G19*$C$6,0)</f>
        <v>138483812</v>
      </c>
      <c r="I19" s="304"/>
      <c r="J19" s="4">
        <f>SUMIF('3b Ukazatel P - Pedagog. fak.'!$A$8:$A$16,'4 RO I'!A19,'3b Ukazatel P - Pedagog. fak.'!$P$8:$P$16)</f>
        <v>10706298</v>
      </c>
      <c r="K19" s="4">
        <f>SUMIF('3c Ukazatel P - pedagogické SP'!$B$10:$B$26,'4 RO I'!A19,'3c Ukazatel P - pedagogické SP'!$I$10:$I$26)</f>
        <v>5775920</v>
      </c>
      <c r="L19" s="5">
        <f>SUMIF('3d Ukazatel P - deficitní aprob'!$A$8:$A$21,'4 RO I'!A19,'3d Ukazatel P - deficitní aprob'!$J$8:$J$21)</f>
        <v>3624420</v>
      </c>
      <c r="M19" s="5"/>
      <c r="N19" s="19"/>
      <c r="O19" s="296">
        <f t="shared" ref="O19:O43" si="3">ROUND(SUM(F19,H19,I19:N19),0)</f>
        <v>726731388</v>
      </c>
      <c r="P19" s="607"/>
      <c r="R19" s="849"/>
      <c r="S19" s="606"/>
    </row>
    <row r="20" spans="1:19" x14ac:dyDescent="0.25">
      <c r="A20" s="28">
        <v>13000</v>
      </c>
      <c r="B20" s="32" t="s">
        <v>6</v>
      </c>
      <c r="C20" s="20">
        <v>2.4582741623257617E-2</v>
      </c>
      <c r="D20" s="4">
        <f t="shared" si="0"/>
        <v>453073731</v>
      </c>
      <c r="E20" s="4"/>
      <c r="F20" s="5">
        <f t="shared" si="1"/>
        <v>453073731</v>
      </c>
      <c r="G20" s="34">
        <f>'2c Výkonová část segment 3'!V7</f>
        <v>1.3994508527215694E-2</v>
      </c>
      <c r="H20" s="5">
        <f t="shared" si="2"/>
        <v>66988051</v>
      </c>
      <c r="I20" s="304"/>
      <c r="J20" s="4">
        <f>SUMIF('3b Ukazatel P - Pedagog. fak.'!$A$8:$A$16,'4 RO I'!A20,'3b Ukazatel P - Pedagog. fak.'!$P$8:$P$16)</f>
        <v>12697842</v>
      </c>
      <c r="K20" s="4">
        <f>SUMIF('3c Ukazatel P - pedagogické SP'!$B$10:$B$26,'4 RO I'!A20,'3c Ukazatel P - pedagogické SP'!$I$10:$I$26)</f>
        <v>4782004</v>
      </c>
      <c r="L20" s="5">
        <f>SUMIF('3d Ukazatel P - deficitní aprob'!$A$8:$A$21,'4 RO I'!A20,'3d Ukazatel P - deficitní aprob'!$J$8:$J$21)</f>
        <v>1586075</v>
      </c>
      <c r="M20" s="5"/>
      <c r="N20" s="19"/>
      <c r="O20" s="296">
        <f t="shared" si="3"/>
        <v>539127703</v>
      </c>
      <c r="P20" s="607"/>
      <c r="R20" s="849"/>
      <c r="S20" s="606"/>
    </row>
    <row r="21" spans="1:19" x14ac:dyDescent="0.25">
      <c r="A21" s="28">
        <v>14000</v>
      </c>
      <c r="B21" s="32" t="s">
        <v>7</v>
      </c>
      <c r="C21" s="20">
        <v>0.1168226092020371</v>
      </c>
      <c r="D21" s="4">
        <f t="shared" si="0"/>
        <v>2153106280</v>
      </c>
      <c r="E21" s="4"/>
      <c r="F21" s="5">
        <f t="shared" si="1"/>
        <v>2153106280</v>
      </c>
      <c r="G21" s="33">
        <f>'2d Výkonová část segment 4'!V7</f>
        <v>0.12240472397398133</v>
      </c>
      <c r="H21" s="5">
        <f t="shared" si="2"/>
        <v>585919387</v>
      </c>
      <c r="I21" s="304">
        <f>SUMIF('3a Ukazatel P - lékařské fakult'!$A$6:$A$13,'4 RO I'!A21,'3a Ukazatel P - lékařské fakult'!$E$6:$E$13)</f>
        <v>120020131</v>
      </c>
      <c r="J21" s="4">
        <f>SUMIF('3b Ukazatel P - Pedagog. fak.'!$A$8:$A$16,'4 RO I'!A21,'3b Ukazatel P - Pedagog. fak.'!$P$8:$P$16)</f>
        <v>13465810</v>
      </c>
      <c r="K21" s="4">
        <f>SUMIF('3c Ukazatel P - pedagogické SP'!$B$10:$B$26,'4 RO I'!A21,'3c Ukazatel P - pedagogické SP'!$I$10:$I$26)</f>
        <v>15900877</v>
      </c>
      <c r="L21" s="5">
        <f>SUMIF('3d Ukazatel P - deficitní aprob'!$A$8:$A$21,'4 RO I'!A21,'3d Ukazatel P - deficitní aprob'!$J$8:$J$21)</f>
        <v>3899478</v>
      </c>
      <c r="M21" s="5"/>
      <c r="N21" s="19"/>
      <c r="O21" s="297">
        <f t="shared" si="3"/>
        <v>2892311963</v>
      </c>
      <c r="P21" s="607"/>
      <c r="R21" s="849"/>
      <c r="S21" s="606"/>
    </row>
    <row r="22" spans="1:19" x14ac:dyDescent="0.25">
      <c r="A22" s="28">
        <v>15000</v>
      </c>
      <c r="B22" s="32" t="s">
        <v>8</v>
      </c>
      <c r="C22" s="20">
        <v>6.3291886180730228E-2</v>
      </c>
      <c r="D22" s="4">
        <f t="shared" si="0"/>
        <v>1166504999</v>
      </c>
      <c r="E22" s="4"/>
      <c r="F22" s="5">
        <f t="shared" si="1"/>
        <v>1166504999</v>
      </c>
      <c r="G22" s="33">
        <f>'2d Výkonová část segment 4'!V8</f>
        <v>6.987882102766145E-2</v>
      </c>
      <c r="H22" s="5">
        <f t="shared" si="2"/>
        <v>334491633</v>
      </c>
      <c r="I22" s="304">
        <f>SUMIF('3a Ukazatel P - lékařské fakult'!$A$6:$A$13,'4 RO I'!A22,'3a Ukazatel P - lékařské fakult'!$E$6:$E$13)</f>
        <v>66315642</v>
      </c>
      <c r="J22" s="4">
        <f>SUMIF('3b Ukazatel P - Pedagog. fak.'!$A$8:$A$16,'4 RO I'!A22,'3b Ukazatel P - Pedagog. fak.'!$P$8:$P$16)</f>
        <v>10355775</v>
      </c>
      <c r="K22" s="4">
        <f>SUMIF('3c Ukazatel P - pedagogické SP'!$B$10:$B$26,'4 RO I'!A22,'3c Ukazatel P - pedagogické SP'!$I$10:$I$26)</f>
        <v>16259062</v>
      </c>
      <c r="L22" s="5">
        <f>SUMIF('3d Ukazatel P - deficitní aprob'!$A$8:$A$21,'4 RO I'!A22,'3d Ukazatel P - deficitní aprob'!$J$8:$J$21)</f>
        <v>6389875</v>
      </c>
      <c r="M22" s="5"/>
      <c r="N22" s="19"/>
      <c r="O22" s="297">
        <f t="shared" si="3"/>
        <v>1600316986</v>
      </c>
      <c r="P22" s="607"/>
      <c r="R22" s="849"/>
      <c r="S22" s="606"/>
    </row>
    <row r="23" spans="1:19" x14ac:dyDescent="0.25">
      <c r="A23" s="28">
        <v>16000</v>
      </c>
      <c r="B23" s="32" t="s">
        <v>267</v>
      </c>
      <c r="C23" s="20">
        <v>1.2314671012166578E-2</v>
      </c>
      <c r="D23" s="4">
        <f t="shared" si="0"/>
        <v>226966301</v>
      </c>
      <c r="E23" s="4"/>
      <c r="F23" s="5">
        <f t="shared" si="1"/>
        <v>226966301</v>
      </c>
      <c r="G23" s="34">
        <f>'2c Výkonová část segment 3'!V8</f>
        <v>7.9061734300156662E-3</v>
      </c>
      <c r="H23" s="5">
        <f t="shared" si="2"/>
        <v>37844784</v>
      </c>
      <c r="I23" s="304"/>
      <c r="J23" s="4"/>
      <c r="K23" s="4"/>
      <c r="L23" s="5"/>
      <c r="M23" s="5">
        <v>21000000</v>
      </c>
      <c r="N23" s="19"/>
      <c r="O23" s="296">
        <f t="shared" si="3"/>
        <v>285811085</v>
      </c>
      <c r="P23" s="607"/>
      <c r="R23" s="849"/>
      <c r="S23" s="606"/>
    </row>
    <row r="24" spans="1:19" x14ac:dyDescent="0.25">
      <c r="A24" s="28">
        <v>17000</v>
      </c>
      <c r="B24" s="32" t="s">
        <v>9</v>
      </c>
      <c r="C24" s="20">
        <v>2.7883961720174572E-2</v>
      </c>
      <c r="D24" s="4">
        <f t="shared" si="0"/>
        <v>513917071</v>
      </c>
      <c r="E24" s="4"/>
      <c r="F24" s="5">
        <f t="shared" si="1"/>
        <v>513917071</v>
      </c>
      <c r="G24" s="34">
        <f>'2c Výkonová část segment 3'!V9</f>
        <v>2.6117047378517416E-2</v>
      </c>
      <c r="H24" s="5">
        <f t="shared" si="2"/>
        <v>125015472</v>
      </c>
      <c r="I24" s="304">
        <f>SUMIF('3a Ukazatel P - lékařské fakult'!$A$6:$A$13,'4 RO I'!A24,'3a Ukazatel P - lékařské fakult'!$E$6:$E$13)</f>
        <v>31812290</v>
      </c>
      <c r="J24" s="4">
        <f>SUMIF('3b Ukazatel P - Pedagog. fak.'!$A$8:$A$16,'4 RO I'!A24,'3b Ukazatel P - Pedagog. fak.'!$P$8:$P$16)</f>
        <v>9211569</v>
      </c>
      <c r="K24" s="4">
        <f>SUMIF('3c Ukazatel P - pedagogické SP'!$B$10:$B$26,'4 RO I'!A24,'3c Ukazatel P - pedagogické SP'!$I$10:$I$26)</f>
        <v>6471817</v>
      </c>
      <c r="L24" s="5">
        <f>SUMIF('3d Ukazatel P - deficitní aprob'!$A$8:$A$21,'4 RO I'!A24,'3d Ukazatel P - deficitní aprob'!$J$8:$J$21)</f>
        <v>4051811</v>
      </c>
      <c r="M24" s="5"/>
      <c r="N24" s="19"/>
      <c r="O24" s="296">
        <f t="shared" si="3"/>
        <v>690480030</v>
      </c>
      <c r="P24" s="607"/>
      <c r="R24" s="849"/>
      <c r="S24" s="606"/>
    </row>
    <row r="25" spans="1:19" x14ac:dyDescent="0.25">
      <c r="A25" s="28">
        <v>18000</v>
      </c>
      <c r="B25" s="32" t="s">
        <v>10</v>
      </c>
      <c r="C25" s="20">
        <v>1.6988869327702848E-2</v>
      </c>
      <c r="D25" s="4">
        <f t="shared" si="0"/>
        <v>313114401</v>
      </c>
      <c r="E25" s="4"/>
      <c r="F25" s="5">
        <f t="shared" si="1"/>
        <v>313114401</v>
      </c>
      <c r="G25" s="34">
        <f>'2c Výkonová část segment 3'!V10</f>
        <v>1.8976727423505649E-2</v>
      </c>
      <c r="H25" s="5">
        <f>ROUND(G25*$C$6+0.1,0)</f>
        <v>90836629</v>
      </c>
      <c r="I25" s="304"/>
      <c r="J25" s="4">
        <f>SUMIF('3b Ukazatel P - Pedagog. fak.'!$A$8:$A$16,'4 RO I'!A25,'3b Ukazatel P - Pedagog. fak.'!$P$8:$P$16)</f>
        <v>13328413</v>
      </c>
      <c r="K25" s="4">
        <f>SUMIF('3c Ukazatel P - pedagogické SP'!$B$10:$B$26,'4 RO I'!A25,'3c Ukazatel P - pedagogické SP'!$I$10:$I$26)</f>
        <v>6420462</v>
      </c>
      <c r="L25" s="5">
        <f>SUMIF('3d Ukazatel P - deficitní aprob'!$A$8:$A$21,'4 RO I'!A25,'3d Ukazatel P - deficitní aprob'!$J$8:$J$21)</f>
        <v>3990554</v>
      </c>
      <c r="M25" s="5"/>
      <c r="N25" s="19"/>
      <c r="O25" s="296">
        <f t="shared" si="3"/>
        <v>427690459</v>
      </c>
      <c r="P25" s="607"/>
      <c r="R25" s="849"/>
      <c r="S25" s="606"/>
    </row>
    <row r="26" spans="1:19" x14ac:dyDescent="0.25">
      <c r="A26" s="28">
        <v>19000</v>
      </c>
      <c r="B26" s="32" t="s">
        <v>11</v>
      </c>
      <c r="C26" s="20">
        <v>1.5380770044140011E-2</v>
      </c>
      <c r="D26" s="4">
        <f t="shared" si="0"/>
        <v>283476228</v>
      </c>
      <c r="E26" s="4"/>
      <c r="F26" s="5">
        <f t="shared" si="1"/>
        <v>283476228</v>
      </c>
      <c r="G26" s="34">
        <f>'2c Výkonová část segment 3'!V11</f>
        <v>9.8441558167188525E-3</v>
      </c>
      <c r="H26" s="5">
        <f t="shared" si="2"/>
        <v>47121398</v>
      </c>
      <c r="I26" s="304"/>
      <c r="J26" s="4"/>
      <c r="K26" s="4">
        <f>SUMIF('3c Ukazatel P - pedagogické SP'!$B$10:$B$26,'4 RO I'!A26,'3c Ukazatel P - pedagogické SP'!$I$10:$I$26)</f>
        <v>904500</v>
      </c>
      <c r="L26" s="5"/>
      <c r="M26" s="5"/>
      <c r="N26" s="19"/>
      <c r="O26" s="296">
        <f t="shared" si="3"/>
        <v>331502126</v>
      </c>
      <c r="P26" s="607"/>
      <c r="R26" s="849"/>
      <c r="S26" s="606"/>
    </row>
    <row r="27" spans="1:19" x14ac:dyDescent="0.25">
      <c r="A27" s="28">
        <v>21000</v>
      </c>
      <c r="B27" s="32" t="s">
        <v>12</v>
      </c>
      <c r="C27" s="20">
        <v>8.6000149591062336E-2</v>
      </c>
      <c r="D27" s="4">
        <f>ROUND(C27*$C$5,0)</f>
        <v>1585031044</v>
      </c>
      <c r="E27" s="4"/>
      <c r="F27" s="5">
        <f t="shared" si="1"/>
        <v>1585031044</v>
      </c>
      <c r="G27" s="33">
        <f>'2d Výkonová část segment 4'!V9</f>
        <v>8.5734882466215898E-2</v>
      </c>
      <c r="H27" s="5">
        <f t="shared" si="2"/>
        <v>410390451</v>
      </c>
      <c r="I27" s="304"/>
      <c r="J27" s="4"/>
      <c r="K27" s="4">
        <f>SUMIF('3c Ukazatel P - pedagogické SP'!$B$10:$B$26,'4 RO I'!A27,'3c Ukazatel P - pedagogické SP'!$I$10:$I$26)</f>
        <v>426784</v>
      </c>
      <c r="L27" s="5">
        <f>SUMIF('3d Ukazatel P - deficitní aprob'!$A$8:$A$21,'4 RO I'!A27,'3d Ukazatel P - deficitní aprob'!$J$8:$J$21)</f>
        <v>1931746</v>
      </c>
      <c r="M27" s="5"/>
      <c r="N27" s="19"/>
      <c r="O27" s="297">
        <f t="shared" si="3"/>
        <v>1997780025</v>
      </c>
      <c r="P27" s="607"/>
      <c r="R27" s="849"/>
      <c r="S27" s="606"/>
    </row>
    <row r="28" spans="1:19" x14ac:dyDescent="0.25">
      <c r="A28" s="28">
        <v>22000</v>
      </c>
      <c r="B28" s="32" t="s">
        <v>13</v>
      </c>
      <c r="C28" s="20">
        <v>2.2861221426518533E-2</v>
      </c>
      <c r="D28" s="4">
        <f t="shared" si="0"/>
        <v>421345147</v>
      </c>
      <c r="E28" s="4"/>
      <c r="F28" s="5">
        <f t="shared" si="1"/>
        <v>421345147</v>
      </c>
      <c r="G28" s="34">
        <f>'2c Výkonová část segment 3'!V12</f>
        <v>3.407368371419129E-2</v>
      </c>
      <c r="H28" s="5">
        <f t="shared" si="2"/>
        <v>163101809</v>
      </c>
      <c r="I28" s="304"/>
      <c r="J28" s="4"/>
      <c r="K28" s="4">
        <f>SUMIF('3c Ukazatel P - pedagogické SP'!$B$10:$B$26,'4 RO I'!A28,'3c Ukazatel P - pedagogické SP'!$I$10:$I$26)</f>
        <v>23394</v>
      </c>
      <c r="L28" s="5">
        <f>SUMIF('3d Ukazatel P - deficitní aprob'!$A$8:$A$21,'4 RO I'!A28,'3d Ukazatel P - deficitní aprob'!$J$8:$J$21)</f>
        <v>101865</v>
      </c>
      <c r="M28" s="5"/>
      <c r="N28" s="19"/>
      <c r="O28" s="296">
        <f t="shared" si="3"/>
        <v>584572215</v>
      </c>
      <c r="P28" s="607"/>
      <c r="R28" s="849"/>
      <c r="S28" s="606"/>
    </row>
    <row r="29" spans="1:19" x14ac:dyDescent="0.25">
      <c r="A29" s="28">
        <v>23000</v>
      </c>
      <c r="B29" s="32" t="s">
        <v>14</v>
      </c>
      <c r="C29" s="20">
        <v>3.7418715986449913E-2</v>
      </c>
      <c r="D29" s="4">
        <f t="shared" si="0"/>
        <v>689647945</v>
      </c>
      <c r="E29" s="4"/>
      <c r="F29" s="5">
        <f t="shared" si="1"/>
        <v>689647945</v>
      </c>
      <c r="G29" s="34">
        <f>'2c Výkonová část segment 3'!V13</f>
        <v>3.4103847386905473E-2</v>
      </c>
      <c r="H29" s="5">
        <f t="shared" si="2"/>
        <v>163246194</v>
      </c>
      <c r="I29" s="304"/>
      <c r="J29" s="4">
        <f>SUMIF('3b Ukazatel P - Pedagog. fak.'!$A$8:$A$16,'4 RO I'!A29,'3b Ukazatel P - Pedagog. fak.'!$P$8:$P$16)</f>
        <v>14214511</v>
      </c>
      <c r="K29" s="4">
        <f>SUMIF('3c Ukazatel P - pedagogické SP'!$B$10:$B$26,'4 RO I'!A29,'3c Ukazatel P - pedagogické SP'!$I$10:$I$26)</f>
        <v>4511489</v>
      </c>
      <c r="L29" s="5">
        <f>SUMIF('3d Ukazatel P - deficitní aprob'!$A$8:$A$21,'4 RO I'!A29,'3d Ukazatel P - deficitní aprob'!$J$8:$J$21)</f>
        <v>94689</v>
      </c>
      <c r="M29" s="5"/>
      <c r="N29" s="19"/>
      <c r="O29" s="296">
        <f t="shared" si="3"/>
        <v>871714828</v>
      </c>
      <c r="P29" s="607"/>
      <c r="R29" s="849"/>
      <c r="S29" s="606"/>
    </row>
    <row r="30" spans="1:19" x14ac:dyDescent="0.25">
      <c r="A30" s="28">
        <v>24000</v>
      </c>
      <c r="B30" s="32" t="s">
        <v>15</v>
      </c>
      <c r="C30" s="20">
        <v>2.1809672008994151E-2</v>
      </c>
      <c r="D30" s="4">
        <f t="shared" si="0"/>
        <v>401964501</v>
      </c>
      <c r="E30" s="4"/>
      <c r="F30" s="5">
        <f t="shared" si="1"/>
        <v>401964501</v>
      </c>
      <c r="G30" s="34">
        <f>'2c Výkonová část segment 3'!V14</f>
        <v>1.7927131397588569E-2</v>
      </c>
      <c r="H30" s="5">
        <f t="shared" si="2"/>
        <v>85812488</v>
      </c>
      <c r="I30" s="304"/>
      <c r="J30" s="4">
        <f>SUMIF('3b Ukazatel P - Pedagog. fak.'!$A$8:$A$16,'4 RO I'!A30,'3b Ukazatel P - Pedagog. fak.'!$P$8:$P$16)</f>
        <v>13463217</v>
      </c>
      <c r="K30" s="4">
        <f>SUMIF('3c Ukazatel P - pedagogické SP'!$B$10:$B$26,'4 RO I'!A30,'3c Ukazatel P - pedagogické SP'!$I$10:$I$26)</f>
        <v>3660721</v>
      </c>
      <c r="L30" s="5"/>
      <c r="M30" s="5"/>
      <c r="N30" s="19"/>
      <c r="O30" s="296">
        <f t="shared" si="3"/>
        <v>504900927</v>
      </c>
      <c r="P30" s="607"/>
      <c r="R30" s="849"/>
      <c r="S30" s="606"/>
    </row>
    <row r="31" spans="1:19" x14ac:dyDescent="0.25">
      <c r="A31" s="28">
        <v>25000</v>
      </c>
      <c r="B31" s="32" t="s">
        <v>16</v>
      </c>
      <c r="C31" s="20">
        <v>2.6156400983062163E-2</v>
      </c>
      <c r="D31" s="4">
        <f t="shared" si="0"/>
        <v>482077156</v>
      </c>
      <c r="E31" s="4"/>
      <c r="F31" s="5">
        <f>D31-E31</f>
        <v>482077156</v>
      </c>
      <c r="G31" s="34">
        <f>'2c Výkonová část segment 3'!V15</f>
        <v>2.1590736643045842E-2</v>
      </c>
      <c r="H31" s="5">
        <f t="shared" si="2"/>
        <v>103349207</v>
      </c>
      <c r="I31" s="304"/>
      <c r="J31" s="4"/>
      <c r="K31" s="4">
        <f>SUMIF('3c Ukazatel P - pedagogické SP'!$B$10:$B$26,'4 RO I'!A31,'3c Ukazatel P - pedagogické SP'!$I$10:$I$26)</f>
        <v>373590</v>
      </c>
      <c r="L31" s="5"/>
      <c r="M31" s="5"/>
      <c r="N31" s="19"/>
      <c r="O31" s="296">
        <f t="shared" si="3"/>
        <v>585799953</v>
      </c>
      <c r="P31" s="607"/>
      <c r="R31" s="849"/>
      <c r="S31" s="606"/>
    </row>
    <row r="32" spans="1:19" x14ac:dyDescent="0.25">
      <c r="A32" s="28">
        <v>26000</v>
      </c>
      <c r="B32" s="32" t="s">
        <v>17</v>
      </c>
      <c r="C32" s="20">
        <v>6.9372909625618692E-2</v>
      </c>
      <c r="D32" s="4">
        <f t="shared" si="0"/>
        <v>1278581675</v>
      </c>
      <c r="E32" s="4"/>
      <c r="F32" s="5">
        <f t="shared" si="1"/>
        <v>1278581675</v>
      </c>
      <c r="G32" s="33">
        <f>'2d Výkonová část segment 4'!V10</f>
        <v>6.242348508937879E-2</v>
      </c>
      <c r="H32" s="5">
        <f t="shared" si="2"/>
        <v>298804891</v>
      </c>
      <c r="I32" s="304"/>
      <c r="J32" s="4"/>
      <c r="K32" s="4"/>
      <c r="L32" s="5"/>
      <c r="M32" s="5"/>
      <c r="N32" s="19"/>
      <c r="O32" s="297">
        <f t="shared" si="3"/>
        <v>1577386566</v>
      </c>
      <c r="P32" s="607"/>
      <c r="R32" s="849"/>
      <c r="S32" s="606"/>
    </row>
    <row r="33" spans="1:19" x14ac:dyDescent="0.25">
      <c r="A33" s="28">
        <v>27000</v>
      </c>
      <c r="B33" s="32" t="s">
        <v>18</v>
      </c>
      <c r="C33" s="20">
        <v>4.8347993229739039E-2</v>
      </c>
      <c r="D33" s="4">
        <f t="shared" si="0"/>
        <v>891080661</v>
      </c>
      <c r="E33" s="4"/>
      <c r="F33" s="5">
        <f t="shared" si="1"/>
        <v>891080661</v>
      </c>
      <c r="G33" s="34">
        <f>'2c Výkonová část segment 3'!V16</f>
        <v>3.5566953249260319E-2</v>
      </c>
      <c r="H33" s="5">
        <f t="shared" si="2"/>
        <v>170249699</v>
      </c>
      <c r="I33" s="304"/>
      <c r="J33" s="4"/>
      <c r="K33" s="4"/>
      <c r="L33" s="5"/>
      <c r="M33" s="5"/>
      <c r="N33" s="19"/>
      <c r="O33" s="296">
        <f t="shared" si="3"/>
        <v>1061330360</v>
      </c>
      <c r="P33" s="607"/>
      <c r="R33" s="849"/>
      <c r="S33" s="606"/>
    </row>
    <row r="34" spans="1:19" x14ac:dyDescent="0.25">
      <c r="A34" s="28">
        <v>28000</v>
      </c>
      <c r="B34" s="32" t="s">
        <v>19</v>
      </c>
      <c r="C34" s="20">
        <v>3.1624516501885302E-2</v>
      </c>
      <c r="D34" s="4">
        <f>ROUND(C34*$C$5,0)</f>
        <v>582857595</v>
      </c>
      <c r="E34" s="4"/>
      <c r="F34" s="5">
        <f t="shared" si="1"/>
        <v>582857595</v>
      </c>
      <c r="G34" s="34">
        <f>'2c Výkonová část segment 3'!V17</f>
        <v>2.2759347160576659E-2</v>
      </c>
      <c r="H34" s="5">
        <f t="shared" si="2"/>
        <v>108943040</v>
      </c>
      <c r="I34" s="304"/>
      <c r="J34" s="4"/>
      <c r="K34" s="4">
        <f>SUMIF('3c Ukazatel P - pedagogické SP'!$B$10:$B$26,'4 RO I'!A34,'3c Ukazatel P - pedagogické SP'!$I$10:$I$26)</f>
        <v>3088778</v>
      </c>
      <c r="L34" s="5">
        <f>SUMIF('3d Ukazatel P - deficitní aprob'!$A$8:$A$21,'4 RO I'!A34,'3d Ukazatel P - deficitní aprob'!$J$8:$J$21)</f>
        <v>385074</v>
      </c>
      <c r="M34" s="5"/>
      <c r="N34" s="19"/>
      <c r="O34" s="296">
        <f t="shared" si="3"/>
        <v>695274487</v>
      </c>
      <c r="P34" s="607"/>
      <c r="R34" s="849"/>
      <c r="S34" s="606"/>
    </row>
    <row r="35" spans="1:19" x14ac:dyDescent="0.25">
      <c r="A35" s="28">
        <v>31000</v>
      </c>
      <c r="B35" s="32" t="s">
        <v>20</v>
      </c>
      <c r="C35" s="20">
        <v>3.6223762423103448E-2</v>
      </c>
      <c r="D35" s="4">
        <f t="shared" si="0"/>
        <v>667624280</v>
      </c>
      <c r="E35" s="4"/>
      <c r="F35" s="5">
        <f t="shared" si="1"/>
        <v>667624280</v>
      </c>
      <c r="G35" s="34">
        <f>'2c Výkonová část segment 3'!V18</f>
        <v>3.4386478066606031E-2</v>
      </c>
      <c r="H35" s="5">
        <f t="shared" si="2"/>
        <v>164599074</v>
      </c>
      <c r="I35" s="304"/>
      <c r="J35" s="4"/>
      <c r="K35" s="4">
        <f>SUMIF('3c Ukazatel P - pedagogické SP'!$B$10:$B$26,'4 RO I'!A35,'3c Ukazatel P - pedagogické SP'!$I$10:$I$26)</f>
        <v>6511</v>
      </c>
      <c r="L35" s="5"/>
      <c r="M35" s="5"/>
      <c r="N35" s="19">
        <v>6800000</v>
      </c>
      <c r="O35" s="296">
        <f t="shared" si="3"/>
        <v>839029865</v>
      </c>
      <c r="P35" s="607"/>
      <c r="R35" s="849"/>
      <c r="S35" s="606"/>
    </row>
    <row r="36" spans="1:19" x14ac:dyDescent="0.25">
      <c r="A36" s="28">
        <v>41000</v>
      </c>
      <c r="B36" s="32" t="s">
        <v>21</v>
      </c>
      <c r="C36" s="20">
        <v>5.0773398703077011E-2</v>
      </c>
      <c r="D36" s="4">
        <f t="shared" si="0"/>
        <v>935782246</v>
      </c>
      <c r="E36" s="4"/>
      <c r="F36" s="5">
        <f t="shared" si="1"/>
        <v>935782246</v>
      </c>
      <c r="G36" s="34">
        <f>'2c Výkonová část segment 3'!V19</f>
        <v>5.1391672845835949E-2</v>
      </c>
      <c r="H36" s="5">
        <f>ROUND(G36*$C$6,0)</f>
        <v>245998492</v>
      </c>
      <c r="I36" s="304"/>
      <c r="J36" s="4"/>
      <c r="K36" s="4">
        <f>SUMIF('3c Ukazatel P - pedagogické SP'!$B$10:$B$26,'4 RO I'!A36,'3c Ukazatel P - pedagogické SP'!$I$10:$I$26)</f>
        <v>993555</v>
      </c>
      <c r="L36" s="5"/>
      <c r="M36" s="5"/>
      <c r="N36" s="19"/>
      <c r="O36" s="296">
        <f t="shared" si="3"/>
        <v>1182774293</v>
      </c>
      <c r="P36" s="607"/>
      <c r="R36" s="849"/>
      <c r="S36" s="606"/>
    </row>
    <row r="37" spans="1:19" x14ac:dyDescent="0.25">
      <c r="A37" s="28">
        <v>43000</v>
      </c>
      <c r="B37" s="32" t="s">
        <v>22</v>
      </c>
      <c r="C37" s="20">
        <v>2.9669895062079548E-2</v>
      </c>
      <c r="D37" s="4">
        <f t="shared" si="0"/>
        <v>546832825</v>
      </c>
      <c r="E37" s="4"/>
      <c r="F37" s="5">
        <f t="shared" si="1"/>
        <v>546832825</v>
      </c>
      <c r="G37" s="34">
        <f>'2c Výkonová část segment 3'!V20</f>
        <v>2.9135379778952267E-2</v>
      </c>
      <c r="H37" s="5">
        <f>ROUND(G37*$C$6,0)</f>
        <v>139463440</v>
      </c>
      <c r="I37" s="304"/>
      <c r="J37" s="4"/>
      <c r="K37" s="4">
        <f>SUMIF('3c Ukazatel P - pedagogické SP'!$B$10:$B$26,'4 RO I'!A37,'3c Ukazatel P - pedagogické SP'!$I$10:$I$26)</f>
        <v>660901</v>
      </c>
      <c r="L37" s="5"/>
      <c r="M37" s="5"/>
      <c r="N37" s="19"/>
      <c r="O37" s="296">
        <f t="shared" si="3"/>
        <v>686957166</v>
      </c>
      <c r="P37" s="607"/>
      <c r="R37" s="849"/>
      <c r="S37" s="606"/>
    </row>
    <row r="38" spans="1:19" x14ac:dyDescent="0.25">
      <c r="A38" s="28">
        <v>51000</v>
      </c>
      <c r="B38" s="32" t="s">
        <v>23</v>
      </c>
      <c r="C38" s="20">
        <v>1.7951999999999999E-2</v>
      </c>
      <c r="D38" s="4">
        <f t="shared" si="0"/>
        <v>330865440</v>
      </c>
      <c r="E38" s="4"/>
      <c r="F38" s="5">
        <f t="shared" si="1"/>
        <v>330865440</v>
      </c>
      <c r="G38" s="34">
        <f>'2a Výkonová část segment 1'!R6</f>
        <v>2.4726548321818791E-2</v>
      </c>
      <c r="H38" s="5">
        <f t="shared" si="2"/>
        <v>118359517</v>
      </c>
      <c r="I38" s="304"/>
      <c r="J38" s="4"/>
      <c r="K38" s="4"/>
      <c r="L38" s="5"/>
      <c r="M38" s="5"/>
      <c r="N38" s="19"/>
      <c r="O38" s="298">
        <f t="shared" si="3"/>
        <v>449224957</v>
      </c>
      <c r="P38" s="607"/>
      <c r="R38" s="849"/>
      <c r="S38" s="606"/>
    </row>
    <row r="39" spans="1:19" x14ac:dyDescent="0.25">
      <c r="A39" s="28">
        <v>52000</v>
      </c>
      <c r="B39" s="32" t="s">
        <v>24</v>
      </c>
      <c r="C39" s="20">
        <v>4.6760000000000005E-3</v>
      </c>
      <c r="D39" s="4">
        <f t="shared" si="0"/>
        <v>86181305</v>
      </c>
      <c r="E39" s="4"/>
      <c r="F39" s="5">
        <f t="shared" si="1"/>
        <v>86181305</v>
      </c>
      <c r="G39" s="34">
        <f>'2a Výkonová část segment 1'!R7</f>
        <v>7.3692474149096776E-3</v>
      </c>
      <c r="H39" s="5">
        <f t="shared" si="2"/>
        <v>35274659</v>
      </c>
      <c r="I39" s="304"/>
      <c r="J39" s="4"/>
      <c r="K39" s="4"/>
      <c r="L39" s="5"/>
      <c r="M39" s="5"/>
      <c r="N39" s="19"/>
      <c r="O39" s="298">
        <f t="shared" si="3"/>
        <v>121455964</v>
      </c>
      <c r="P39" s="607"/>
      <c r="R39" s="849"/>
      <c r="S39" s="606"/>
    </row>
    <row r="40" spans="1:19" x14ac:dyDescent="0.25">
      <c r="A40" s="28">
        <v>53000</v>
      </c>
      <c r="B40" s="32" t="s">
        <v>25</v>
      </c>
      <c r="C40" s="20">
        <v>6.9280000000000001E-3</v>
      </c>
      <c r="D40" s="4">
        <f t="shared" si="0"/>
        <v>127686930</v>
      </c>
      <c r="E40" s="4"/>
      <c r="F40" s="5">
        <f t="shared" si="1"/>
        <v>127686930</v>
      </c>
      <c r="G40" s="34">
        <f>'2a Výkonová část segment 1'!R8</f>
        <v>1.2774854637972035E-2</v>
      </c>
      <c r="H40" s="5">
        <f t="shared" si="2"/>
        <v>61149887</v>
      </c>
      <c r="I40" s="304"/>
      <c r="J40" s="4"/>
      <c r="K40" s="4"/>
      <c r="L40" s="5"/>
      <c r="M40" s="5"/>
      <c r="N40" s="19"/>
      <c r="O40" s="298">
        <f t="shared" si="3"/>
        <v>188836817</v>
      </c>
      <c r="P40" s="607"/>
      <c r="R40" s="849"/>
      <c r="S40" s="606"/>
    </row>
    <row r="41" spans="1:19" x14ac:dyDescent="0.25">
      <c r="A41" s="28">
        <v>54000</v>
      </c>
      <c r="B41" s="32" t="s">
        <v>272</v>
      </c>
      <c r="C41" s="20">
        <v>1.0444E-2</v>
      </c>
      <c r="D41" s="4">
        <f t="shared" si="0"/>
        <v>192488784</v>
      </c>
      <c r="E41" s="4"/>
      <c r="F41" s="5">
        <f t="shared" si="1"/>
        <v>192488784</v>
      </c>
      <c r="G41" s="34">
        <f>'2a Výkonová část segment 1'!R9</f>
        <v>1.1262840713700773E-2</v>
      </c>
      <c r="H41" s="5">
        <f t="shared" si="2"/>
        <v>53912272</v>
      </c>
      <c r="I41" s="304"/>
      <c r="J41" s="4"/>
      <c r="K41" s="4"/>
      <c r="L41" s="5"/>
      <c r="M41" s="5"/>
      <c r="N41" s="19"/>
      <c r="O41" s="298">
        <f t="shared" si="3"/>
        <v>246401056</v>
      </c>
      <c r="P41" s="607"/>
      <c r="R41" s="849"/>
      <c r="S41" s="606"/>
    </row>
    <row r="42" spans="1:19" x14ac:dyDescent="0.25">
      <c r="A42" s="28">
        <v>55000</v>
      </c>
      <c r="B42" s="32" t="s">
        <v>26</v>
      </c>
      <c r="C42" s="20">
        <v>5.8242555510266344E-3</v>
      </c>
      <c r="D42" s="4">
        <f t="shared" si="0"/>
        <v>107344300</v>
      </c>
      <c r="E42" s="4"/>
      <c r="F42" s="5">
        <f t="shared" si="1"/>
        <v>107344300</v>
      </c>
      <c r="G42" s="3">
        <f>'2b Výkonová část segment 2'!J6</f>
        <v>6.3127114944286859E-3</v>
      </c>
      <c r="H42" s="5">
        <f t="shared" si="2"/>
        <v>30217298</v>
      </c>
      <c r="I42" s="304"/>
      <c r="J42" s="4"/>
      <c r="K42" s="4"/>
      <c r="L42" s="5"/>
      <c r="M42" s="5"/>
      <c r="N42" s="19"/>
      <c r="O42" s="299">
        <f t="shared" si="3"/>
        <v>137561598</v>
      </c>
      <c r="P42" s="607"/>
      <c r="R42" s="849"/>
      <c r="S42" s="606"/>
    </row>
    <row r="43" spans="1:19" ht="15" customHeight="1" thickBot="1" x14ac:dyDescent="0.3">
      <c r="A43" s="35">
        <v>56000</v>
      </c>
      <c r="B43" s="36" t="s">
        <v>27</v>
      </c>
      <c r="C43" s="37">
        <v>8.1329114759375667E-3</v>
      </c>
      <c r="D43" s="6">
        <f t="shared" si="0"/>
        <v>149894125</v>
      </c>
      <c r="E43" s="6"/>
      <c r="F43" s="7">
        <f t="shared" si="1"/>
        <v>149894125</v>
      </c>
      <c r="G43" s="3">
        <f>'2b Výkonová část segment 2'!J7</f>
        <v>6.8423200080539124E-3</v>
      </c>
      <c r="H43" s="7">
        <f t="shared" si="2"/>
        <v>32752396</v>
      </c>
      <c r="I43" s="306"/>
      <c r="J43" s="6"/>
      <c r="K43" s="6"/>
      <c r="L43" s="7"/>
      <c r="M43" s="7"/>
      <c r="N43" s="21"/>
      <c r="O43" s="300">
        <f t="shared" si="3"/>
        <v>182646521</v>
      </c>
      <c r="P43" s="607"/>
      <c r="R43" s="849"/>
      <c r="S43" s="606"/>
    </row>
    <row r="44" spans="1:19" ht="15.75" thickBot="1" x14ac:dyDescent="0.3">
      <c r="A44" s="981" t="s">
        <v>28</v>
      </c>
      <c r="B44" s="985"/>
      <c r="C44" s="23">
        <f t="shared" ref="C44:O44" si="4">SUM(C18:C43)</f>
        <v>0.99999999999999967</v>
      </c>
      <c r="D44" s="9">
        <f t="shared" si="4"/>
        <v>18430561474</v>
      </c>
      <c r="E44" s="9">
        <f t="shared" si="4"/>
        <v>0</v>
      </c>
      <c r="F44" s="10">
        <f t="shared" si="4"/>
        <v>18430561474</v>
      </c>
      <c r="G44" s="8">
        <f t="shared" si="4"/>
        <v>1</v>
      </c>
      <c r="H44" s="10">
        <f t="shared" si="4"/>
        <v>4786738358</v>
      </c>
      <c r="I44" s="307">
        <f t="shared" si="4"/>
        <v>600000000</v>
      </c>
      <c r="J44" s="9">
        <f t="shared" si="4"/>
        <v>115000000</v>
      </c>
      <c r="K44" s="9">
        <f t="shared" si="4"/>
        <v>85000000</v>
      </c>
      <c r="L44" s="10">
        <f t="shared" si="4"/>
        <v>30000000</v>
      </c>
      <c r="M44" s="10">
        <f t="shared" si="4"/>
        <v>21000000</v>
      </c>
      <c r="N44" s="22">
        <f t="shared" si="4"/>
        <v>6800000</v>
      </c>
      <c r="O44" s="305">
        <f t="shared" si="4"/>
        <v>24075099832</v>
      </c>
      <c r="P44" s="607"/>
    </row>
    <row r="45" spans="1:19" ht="18" x14ac:dyDescent="0.3">
      <c r="A45" s="24"/>
      <c r="B45" s="15"/>
      <c r="C45" s="15"/>
      <c r="D45" s="15"/>
      <c r="E45" s="15"/>
      <c r="F45" s="15"/>
      <c r="G45" s="15"/>
      <c r="H45" s="25"/>
      <c r="I45" s="15"/>
    </row>
    <row r="46" spans="1:19" x14ac:dyDescent="0.25">
      <c r="J46" s="11"/>
    </row>
    <row r="47" spans="1:19" x14ac:dyDescent="0.25">
      <c r="A47" s="609" t="s">
        <v>252</v>
      </c>
      <c r="C47" s="459"/>
      <c r="D47" s="607"/>
      <c r="E47" s="459"/>
      <c r="G47" s="459"/>
      <c r="J47" s="11"/>
    </row>
    <row r="48" spans="1:19" x14ac:dyDescent="0.25">
      <c r="C48" s="459"/>
      <c r="D48" s="607"/>
      <c r="E48" s="459"/>
      <c r="G48" s="459"/>
      <c r="J48" s="11"/>
    </row>
    <row r="49" spans="3:10" x14ac:dyDescent="0.25">
      <c r="C49" s="459"/>
      <c r="D49" s="607"/>
      <c r="E49" s="459"/>
      <c r="G49" s="459"/>
      <c r="J49" s="11"/>
    </row>
    <row r="50" spans="3:10" x14ac:dyDescent="0.25">
      <c r="C50" s="459"/>
      <c r="D50" s="607"/>
      <c r="E50" s="459"/>
      <c r="G50" s="459"/>
      <c r="J50" s="11"/>
    </row>
    <row r="51" spans="3:10" x14ac:dyDescent="0.25">
      <c r="D51" s="607"/>
      <c r="J51" s="11"/>
    </row>
    <row r="52" spans="3:10" x14ac:dyDescent="0.25">
      <c r="D52" s="607"/>
      <c r="J52" s="11"/>
    </row>
    <row r="53" spans="3:10" x14ac:dyDescent="0.25">
      <c r="D53" s="607"/>
      <c r="J53" s="11"/>
    </row>
    <row r="54" spans="3:10" x14ac:dyDescent="0.25">
      <c r="D54" s="607"/>
      <c r="J54" s="11"/>
    </row>
    <row r="55" spans="3:10" x14ac:dyDescent="0.25">
      <c r="D55" s="607"/>
      <c r="J55" s="11"/>
    </row>
    <row r="56" spans="3:10" x14ac:dyDescent="0.25">
      <c r="D56" s="607"/>
      <c r="J56" s="11"/>
    </row>
    <row r="57" spans="3:10" x14ac:dyDescent="0.25">
      <c r="D57" s="607"/>
      <c r="J57" s="11"/>
    </row>
    <row r="58" spans="3:10" x14ac:dyDescent="0.25">
      <c r="D58" s="607"/>
      <c r="J58" s="11"/>
    </row>
    <row r="59" spans="3:10" x14ac:dyDescent="0.25">
      <c r="D59" s="607"/>
      <c r="J59" s="11"/>
    </row>
    <row r="60" spans="3:10" x14ac:dyDescent="0.25">
      <c r="D60" s="607"/>
      <c r="J60" s="11"/>
    </row>
    <row r="61" spans="3:10" x14ac:dyDescent="0.25">
      <c r="D61" s="607"/>
      <c r="J61" s="11"/>
    </row>
    <row r="62" spans="3:10" x14ac:dyDescent="0.25">
      <c r="D62" s="607"/>
      <c r="J62" s="11"/>
    </row>
    <row r="63" spans="3:10" x14ac:dyDescent="0.25">
      <c r="D63" s="607"/>
      <c r="J63" s="11"/>
    </row>
    <row r="64" spans="3:10" x14ac:dyDescent="0.25">
      <c r="D64" s="607"/>
      <c r="J64" s="11"/>
    </row>
    <row r="65" spans="4:10" x14ac:dyDescent="0.25">
      <c r="D65" s="607"/>
      <c r="J65" s="11"/>
    </row>
    <row r="66" spans="4:10" x14ac:dyDescent="0.25">
      <c r="D66" s="607"/>
      <c r="J66" s="11"/>
    </row>
    <row r="67" spans="4:10" x14ac:dyDescent="0.25">
      <c r="D67" s="607"/>
      <c r="J67" s="11"/>
    </row>
    <row r="68" spans="4:10" x14ac:dyDescent="0.25">
      <c r="D68" s="607"/>
      <c r="J68" s="11"/>
    </row>
    <row r="69" spans="4:10" x14ac:dyDescent="0.25">
      <c r="D69" s="607"/>
      <c r="J69" s="11"/>
    </row>
    <row r="70" spans="4:10" x14ac:dyDescent="0.25">
      <c r="D70" s="607"/>
      <c r="J70" s="11"/>
    </row>
    <row r="71" spans="4:10" x14ac:dyDescent="0.25">
      <c r="D71" s="607"/>
      <c r="J71" s="11"/>
    </row>
    <row r="72" spans="4:10" x14ac:dyDescent="0.25">
      <c r="D72" s="607"/>
    </row>
    <row r="73" spans="4:10" x14ac:dyDescent="0.25">
      <c r="D73" s="607"/>
    </row>
  </sheetData>
  <mergeCells count="19">
    <mergeCell ref="O15:O17"/>
    <mergeCell ref="J16:J17"/>
    <mergeCell ref="I16:I17"/>
    <mergeCell ref="E16:E17"/>
    <mergeCell ref="D16:D17"/>
    <mergeCell ref="C15:F15"/>
    <mergeCell ref="G15:H15"/>
    <mergeCell ref="H16:H17"/>
    <mergeCell ref="G16:G17"/>
    <mergeCell ref="F16:F17"/>
    <mergeCell ref="I15:N15"/>
    <mergeCell ref="K16:K17"/>
    <mergeCell ref="M16:M17"/>
    <mergeCell ref="N16:N17"/>
    <mergeCell ref="L16:L17"/>
    <mergeCell ref="A44:B44"/>
    <mergeCell ref="C16:C17"/>
    <mergeCell ref="B15:B17"/>
    <mergeCell ref="A15:A17"/>
  </mergeCells>
  <hyperlinks>
    <hyperlink ref="A47" location="'0 Seznam'!A1" display="Seznam" xr:uid="{2DA5C60E-B7A3-486B-B3EF-A15D8A74DA0F}"/>
  </hyperlinks>
  <pageMargins left="0.70866141732283472" right="0.70866141732283472" top="0.78740157480314965" bottom="0.78740157480314965" header="0.31496062992125984" footer="0.31496062992125984"/>
  <pageSetup paperSize="8" scale="73" orientation="landscape" r:id="rId1"/>
  <headerFooter>
    <oddHeader xml:space="preserve">&amp;LČ. j.:999/2024-1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D38"/>
  <sheetViews>
    <sheetView zoomScale="85" zoomScaleNormal="85" workbookViewId="0">
      <selection activeCell="A38" sqref="A38"/>
    </sheetView>
  </sheetViews>
  <sheetFormatPr defaultRowHeight="15" x14ac:dyDescent="0.25"/>
  <cols>
    <col min="1" max="1" width="11.5703125" customWidth="1"/>
    <col min="2" max="2" width="74.85546875" bestFit="1" customWidth="1"/>
    <col min="3" max="4" width="20.7109375" customWidth="1"/>
    <col min="8" max="8" width="17" customWidth="1"/>
    <col min="9" max="9" width="34" customWidth="1"/>
  </cols>
  <sheetData>
    <row r="1" spans="1:4" ht="27.75" x14ac:dyDescent="0.25">
      <c r="A1" s="1067" t="s">
        <v>92</v>
      </c>
      <c r="B1" s="1067"/>
      <c r="C1" s="1067"/>
      <c r="D1" s="1067"/>
    </row>
    <row r="2" spans="1:4" ht="19.5" x14ac:dyDescent="0.25">
      <c r="A2" s="248"/>
      <c r="B2" s="248"/>
      <c r="C2" s="248"/>
      <c r="D2" s="248"/>
    </row>
    <row r="3" spans="1:4" ht="20.25" x14ac:dyDescent="0.25">
      <c r="A3" s="249" t="s">
        <v>300</v>
      </c>
      <c r="B3" s="248"/>
      <c r="C3" s="248"/>
      <c r="D3" s="248"/>
    </row>
    <row r="4" spans="1:4" ht="26.25" x14ac:dyDescent="0.25">
      <c r="A4" s="250"/>
      <c r="B4" s="250"/>
      <c r="C4" s="250"/>
      <c r="D4" s="250"/>
    </row>
    <row r="5" spans="1:4" x14ac:dyDescent="0.25">
      <c r="A5" s="251"/>
      <c r="B5" s="826" t="s">
        <v>301</v>
      </c>
      <c r="C5" s="848">
        <f>'1 Bilance'!O22</f>
        <v>1678725000</v>
      </c>
      <c r="D5" t="s">
        <v>34</v>
      </c>
    </row>
    <row r="6" spans="1:4" x14ac:dyDescent="0.25">
      <c r="A6" s="251"/>
      <c r="B6" s="252"/>
      <c r="C6" s="253"/>
      <c r="D6" s="253"/>
    </row>
    <row r="7" spans="1:4" ht="15.75" thickBot="1" x14ac:dyDescent="0.3">
      <c r="A7" s="254"/>
      <c r="B7" s="254"/>
      <c r="C7" s="254"/>
      <c r="D7" s="255" t="s">
        <v>0</v>
      </c>
    </row>
    <row r="8" spans="1:4" ht="30.75" thickBot="1" x14ac:dyDescent="0.3">
      <c r="A8" s="256" t="s">
        <v>2</v>
      </c>
      <c r="B8" s="257" t="s">
        <v>3</v>
      </c>
      <c r="C8" s="258" t="s">
        <v>29</v>
      </c>
      <c r="D8" s="259" t="s">
        <v>93</v>
      </c>
    </row>
    <row r="9" spans="1:4" x14ac:dyDescent="0.25">
      <c r="A9" s="260">
        <v>11000</v>
      </c>
      <c r="B9" s="261" t="s">
        <v>4</v>
      </c>
      <c r="C9" s="845">
        <v>0.29002643423590768</v>
      </c>
      <c r="D9" s="262">
        <f>C9*$C$5</f>
        <v>486874625.81267411</v>
      </c>
    </row>
    <row r="10" spans="1:4" x14ac:dyDescent="0.25">
      <c r="A10" s="260">
        <v>12000</v>
      </c>
      <c r="B10" s="261" t="s">
        <v>5</v>
      </c>
      <c r="C10" s="845">
        <v>3.2154211616775022E-2</v>
      </c>
      <c r="D10" s="263">
        <f t="shared" ref="D10:D34" si="0">C10*$C$5</f>
        <v>53978078.896370649</v>
      </c>
    </row>
    <row r="11" spans="1:4" x14ac:dyDescent="0.25">
      <c r="A11" s="260">
        <v>13000</v>
      </c>
      <c r="B11" s="261" t="s">
        <v>6</v>
      </c>
      <c r="C11" s="845">
        <v>1.0881796099164107E-2</v>
      </c>
      <c r="D11" s="263">
        <f t="shared" si="0"/>
        <v>18267543.156569265</v>
      </c>
    </row>
    <row r="12" spans="1:4" x14ac:dyDescent="0.25">
      <c r="A12" s="260">
        <v>14000</v>
      </c>
      <c r="B12" s="261" t="s">
        <v>7</v>
      </c>
      <c r="C12" s="845">
        <v>0.14484096332282087</v>
      </c>
      <c r="D12" s="263">
        <f t="shared" si="0"/>
        <v>243148146.15410247</v>
      </c>
    </row>
    <row r="13" spans="1:4" x14ac:dyDescent="0.25">
      <c r="A13" s="260">
        <v>15000</v>
      </c>
      <c r="B13" s="261" t="s">
        <v>8</v>
      </c>
      <c r="C13" s="845">
        <v>6.8840644423805095E-2</v>
      </c>
      <c r="D13" s="263">
        <f t="shared" si="0"/>
        <v>115564510.81035221</v>
      </c>
    </row>
    <row r="14" spans="1:4" x14ac:dyDescent="0.25">
      <c r="A14" s="260">
        <v>16000</v>
      </c>
      <c r="B14" s="261" t="s">
        <v>267</v>
      </c>
      <c r="C14" s="845">
        <v>8.106989809993281E-3</v>
      </c>
      <c r="D14" s="263">
        <f t="shared" si="0"/>
        <v>13609406.46878097</v>
      </c>
    </row>
    <row r="15" spans="1:4" x14ac:dyDescent="0.25">
      <c r="A15" s="260">
        <v>17000</v>
      </c>
      <c r="B15" s="261" t="s">
        <v>9</v>
      </c>
      <c r="C15" s="845">
        <v>1.6659819961420304E-2</v>
      </c>
      <c r="D15" s="263">
        <f t="shared" si="0"/>
        <v>27967256.2647353</v>
      </c>
    </row>
    <row r="16" spans="1:4" x14ac:dyDescent="0.25">
      <c r="A16" s="260">
        <v>18000</v>
      </c>
      <c r="B16" s="261" t="s">
        <v>10</v>
      </c>
      <c r="C16" s="845">
        <v>8.6268486104165171E-3</v>
      </c>
      <c r="D16" s="263">
        <f t="shared" si="0"/>
        <v>14482106.433521468</v>
      </c>
    </row>
    <row r="17" spans="1:4" x14ac:dyDescent="0.25">
      <c r="A17" s="260">
        <v>19000</v>
      </c>
      <c r="B17" s="261" t="s">
        <v>11</v>
      </c>
      <c r="C17" s="845">
        <v>3.4828891905408304E-3</v>
      </c>
      <c r="D17" s="263">
        <f t="shared" si="0"/>
        <v>5846813.1563906558</v>
      </c>
    </row>
    <row r="18" spans="1:4" x14ac:dyDescent="0.25">
      <c r="A18" s="260">
        <v>21000</v>
      </c>
      <c r="B18" s="261" t="s">
        <v>12</v>
      </c>
      <c r="C18" s="845">
        <v>8.2946345645495467E-2</v>
      </c>
      <c r="D18" s="263">
        <f t="shared" si="0"/>
        <v>139244104.09373438</v>
      </c>
    </row>
    <row r="19" spans="1:4" x14ac:dyDescent="0.25">
      <c r="A19" s="260">
        <v>22000</v>
      </c>
      <c r="B19" s="261" t="s">
        <v>13</v>
      </c>
      <c r="C19" s="845">
        <v>4.3821890405086807E-2</v>
      </c>
      <c r="D19" s="263">
        <f t="shared" si="0"/>
        <v>73564902.970279351</v>
      </c>
    </row>
    <row r="20" spans="1:4" x14ac:dyDescent="0.25">
      <c r="A20" s="260">
        <v>23000</v>
      </c>
      <c r="B20" s="261" t="s">
        <v>14</v>
      </c>
      <c r="C20" s="845">
        <v>2.3701507465885546E-2</v>
      </c>
      <c r="D20" s="263">
        <f t="shared" si="0"/>
        <v>39788313.120668709</v>
      </c>
    </row>
    <row r="21" spans="1:4" x14ac:dyDescent="0.25">
      <c r="A21" s="260">
        <v>24000</v>
      </c>
      <c r="B21" s="261" t="s">
        <v>15</v>
      </c>
      <c r="C21" s="845">
        <v>1.2149924983925127E-2</v>
      </c>
      <c r="D21" s="263">
        <f t="shared" si="0"/>
        <v>20396382.818639707</v>
      </c>
    </row>
    <row r="22" spans="1:4" x14ac:dyDescent="0.25">
      <c r="A22" s="260">
        <v>25000</v>
      </c>
      <c r="B22" s="261" t="s">
        <v>16</v>
      </c>
      <c r="C22" s="845">
        <v>1.444952489819247E-2</v>
      </c>
      <c r="D22" s="263">
        <f t="shared" si="0"/>
        <v>24256778.684718154</v>
      </c>
    </row>
    <row r="23" spans="1:4" x14ac:dyDescent="0.25">
      <c r="A23" s="260">
        <v>26000</v>
      </c>
      <c r="B23" s="261" t="s">
        <v>17</v>
      </c>
      <c r="C23" s="845">
        <v>7.5944845323998006E-2</v>
      </c>
      <c r="D23" s="263">
        <f t="shared" si="0"/>
        <v>127490510.46652855</v>
      </c>
    </row>
    <row r="24" spans="1:4" x14ac:dyDescent="0.25">
      <c r="A24" s="260">
        <v>27000</v>
      </c>
      <c r="B24" s="261" t="s">
        <v>18</v>
      </c>
      <c r="C24" s="845">
        <v>4.074087304422376E-2</v>
      </c>
      <c r="D24" s="263">
        <f t="shared" si="0"/>
        <v>68392722.101164535</v>
      </c>
    </row>
    <row r="25" spans="1:4" x14ac:dyDescent="0.25">
      <c r="A25" s="260">
        <v>28000</v>
      </c>
      <c r="B25" s="261" t="s">
        <v>19</v>
      </c>
      <c r="C25" s="845">
        <v>1.2533935843395013E-2</v>
      </c>
      <c r="D25" s="263">
        <f t="shared" si="0"/>
        <v>21041031.448703293</v>
      </c>
    </row>
    <row r="26" spans="1:4" x14ac:dyDescent="0.25">
      <c r="A26" s="260">
        <v>31000</v>
      </c>
      <c r="B26" s="261" t="s">
        <v>20</v>
      </c>
      <c r="C26" s="845">
        <v>1.6583910838036724E-2</v>
      </c>
      <c r="D26" s="263">
        <f t="shared" si="0"/>
        <v>27839825.721583199</v>
      </c>
    </row>
    <row r="27" spans="1:4" x14ac:dyDescent="0.25">
      <c r="A27" s="260">
        <v>41000</v>
      </c>
      <c r="B27" s="261" t="s">
        <v>21</v>
      </c>
      <c r="C27" s="845">
        <v>5.1805744088018864E-2</v>
      </c>
      <c r="D27" s="263">
        <f t="shared" si="0"/>
        <v>86967597.74415946</v>
      </c>
    </row>
    <row r="28" spans="1:4" x14ac:dyDescent="0.25">
      <c r="A28" s="260">
        <v>43000</v>
      </c>
      <c r="B28" s="261" t="s">
        <v>22</v>
      </c>
      <c r="C28" s="845">
        <v>2.7604129456312066E-2</v>
      </c>
      <c r="D28" s="263">
        <f t="shared" si="0"/>
        <v>46339742.221547469</v>
      </c>
    </row>
    <row r="29" spans="1:4" x14ac:dyDescent="0.25">
      <c r="A29" s="260">
        <v>51000</v>
      </c>
      <c r="B29" s="261" t="s">
        <v>23</v>
      </c>
      <c r="C29" s="845">
        <v>6.1084518111023788E-3</v>
      </c>
      <c r="D29" s="263">
        <f t="shared" si="0"/>
        <v>10254410.766592842</v>
      </c>
    </row>
    <row r="30" spans="1:4" x14ac:dyDescent="0.25">
      <c r="A30" s="260">
        <v>52000</v>
      </c>
      <c r="B30" s="261" t="s">
        <v>24</v>
      </c>
      <c r="C30" s="845">
        <v>1.772701293134243E-3</v>
      </c>
      <c r="D30" s="263">
        <f t="shared" si="0"/>
        <v>2975877.978316782</v>
      </c>
    </row>
    <row r="31" spans="1:4" x14ac:dyDescent="0.25">
      <c r="A31" s="260">
        <v>53000</v>
      </c>
      <c r="B31" s="261" t="s">
        <v>25</v>
      </c>
      <c r="C31" s="845">
        <v>2.8622204758162462E-3</v>
      </c>
      <c r="D31" s="263">
        <f t="shared" si="0"/>
        <v>4804881.0682646278</v>
      </c>
    </row>
    <row r="32" spans="1:4" x14ac:dyDescent="0.25">
      <c r="A32" s="260">
        <v>54000</v>
      </c>
      <c r="B32" s="261" t="s">
        <v>272</v>
      </c>
      <c r="C32" s="845">
        <v>3.3533971565335428E-3</v>
      </c>
      <c r="D32" s="263">
        <f t="shared" si="0"/>
        <v>5629431.641601772</v>
      </c>
    </row>
    <row r="33" spans="1:4" x14ac:dyDescent="0.25">
      <c r="A33" s="260">
        <v>55000</v>
      </c>
      <c r="B33" s="261" t="s">
        <v>26</v>
      </c>
      <c r="C33" s="845">
        <v>0</v>
      </c>
      <c r="D33" s="263">
        <f t="shared" si="0"/>
        <v>0</v>
      </c>
    </row>
    <row r="34" spans="1:4" ht="15.75" thickBot="1" x14ac:dyDescent="0.3">
      <c r="A34" s="264">
        <v>56000</v>
      </c>
      <c r="B34" s="265" t="s">
        <v>27</v>
      </c>
      <c r="C34" s="846">
        <v>0</v>
      </c>
      <c r="D34" s="266">
        <f t="shared" si="0"/>
        <v>0</v>
      </c>
    </row>
    <row r="35" spans="1:4" ht="15.75" thickBot="1" x14ac:dyDescent="0.3">
      <c r="A35" s="267"/>
      <c r="B35" s="268" t="s">
        <v>28</v>
      </c>
      <c r="C35" s="847">
        <f>SUM(C9:C34)</f>
        <v>0.99999999999999989</v>
      </c>
      <c r="D35" s="269">
        <f>SUM(D9:D34)</f>
        <v>1678725000</v>
      </c>
    </row>
    <row r="36" spans="1:4" x14ac:dyDescent="0.25">
      <c r="A36" s="270"/>
      <c r="B36" s="271"/>
      <c r="C36" s="271"/>
      <c r="D36" s="271"/>
    </row>
    <row r="38" spans="1:4" x14ac:dyDescent="0.25">
      <c r="A38" s="609" t="s">
        <v>252</v>
      </c>
    </row>
  </sheetData>
  <mergeCells count="1">
    <mergeCell ref="A1:D1"/>
  </mergeCells>
  <hyperlinks>
    <hyperlink ref="A38" location="'0 Seznam'!A1" display="Seznam" xr:uid="{AAF16864-1CF8-4CF3-AAA7-7731BF62D60A}"/>
  </hyperlinks>
  <pageMargins left="0.70866141732283472" right="0.70866141732283472" top="0.78740157480314965" bottom="0.78740157480314965" header="0.31496062992125984" footer="0.31496062992125984"/>
  <pageSetup paperSize="9" scale="73" orientation="landscape" r:id="rId1"/>
  <headerFooter>
    <oddHeader xml:space="preserve">&amp;LČ. j.:999/2024-1
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M42"/>
  <sheetViews>
    <sheetView zoomScale="85" zoomScaleNormal="85" workbookViewId="0">
      <selection activeCell="B28" sqref="B28"/>
    </sheetView>
  </sheetViews>
  <sheetFormatPr defaultRowHeight="15" x14ac:dyDescent="0.25"/>
  <cols>
    <col min="1" max="1" width="10.140625" customWidth="1"/>
    <col min="2" max="2" width="61.140625" customWidth="1"/>
    <col min="3" max="7" width="16.7109375" customWidth="1"/>
  </cols>
  <sheetData>
    <row r="1" spans="1:7" ht="27.75" x14ac:dyDescent="0.25">
      <c r="A1" s="353" t="s">
        <v>124</v>
      </c>
    </row>
    <row r="2" spans="1:7" x14ac:dyDescent="0.25">
      <c r="A2" s="354"/>
    </row>
    <row r="3" spans="1:7" ht="20.25" x14ac:dyDescent="0.25">
      <c r="A3" s="355" t="s">
        <v>299</v>
      </c>
    </row>
    <row r="4" spans="1:7" ht="15.75" thickBot="1" x14ac:dyDescent="0.3"/>
    <row r="5" spans="1:7" x14ac:dyDescent="0.25">
      <c r="A5" s="1068" t="s">
        <v>2</v>
      </c>
      <c r="B5" s="1070" t="s">
        <v>3</v>
      </c>
      <c r="C5" s="356" t="s">
        <v>125</v>
      </c>
      <c r="D5" s="356"/>
      <c r="E5" s="356"/>
      <c r="F5" s="357"/>
      <c r="G5" s="1070" t="s">
        <v>260</v>
      </c>
    </row>
    <row r="6" spans="1:7" ht="26.25" thickBot="1" x14ac:dyDescent="0.3">
      <c r="A6" s="1069"/>
      <c r="B6" s="1071"/>
      <c r="C6" s="358" t="s">
        <v>126</v>
      </c>
      <c r="D6" s="359" t="s">
        <v>127</v>
      </c>
      <c r="E6" s="359" t="s">
        <v>128</v>
      </c>
      <c r="F6" s="359" t="s">
        <v>129</v>
      </c>
      <c r="G6" s="1071"/>
    </row>
    <row r="7" spans="1:7" x14ac:dyDescent="0.25">
      <c r="A7" s="360">
        <v>11000</v>
      </c>
      <c r="B7" s="361" t="s">
        <v>4</v>
      </c>
      <c r="C7" s="362">
        <v>638277</v>
      </c>
      <c r="D7" s="363">
        <v>42977</v>
      </c>
      <c r="E7" s="363">
        <v>17190.8</v>
      </c>
      <c r="F7" s="363">
        <v>655467.80000000005</v>
      </c>
      <c r="G7" s="364">
        <f>ROUND(F7*G$35,-3)</f>
        <v>11766000</v>
      </c>
    </row>
    <row r="8" spans="1:7" x14ac:dyDescent="0.25">
      <c r="A8" s="365">
        <v>12000</v>
      </c>
      <c r="B8" s="366" t="s">
        <v>5</v>
      </c>
      <c r="C8" s="362">
        <v>131598</v>
      </c>
      <c r="D8" s="363">
        <v>4741</v>
      </c>
      <c r="E8" s="363">
        <v>1896.4</v>
      </c>
      <c r="F8" s="363">
        <v>133494.39999999999</v>
      </c>
      <c r="G8" s="364">
        <f t="shared" ref="G8:G32" si="0">ROUND(F8*G$35,-3)</f>
        <v>2396000</v>
      </c>
    </row>
    <row r="9" spans="1:7" x14ac:dyDescent="0.25">
      <c r="A9" s="365">
        <v>13000</v>
      </c>
      <c r="B9" s="366" t="s">
        <v>6</v>
      </c>
      <c r="C9" s="362">
        <v>16708</v>
      </c>
      <c r="D9" s="363">
        <v>1190</v>
      </c>
      <c r="E9" s="363">
        <v>476</v>
      </c>
      <c r="F9" s="363">
        <v>17184</v>
      </c>
      <c r="G9" s="364">
        <f t="shared" si="0"/>
        <v>308000</v>
      </c>
    </row>
    <row r="10" spans="1:7" x14ac:dyDescent="0.25">
      <c r="A10" s="365">
        <v>14000</v>
      </c>
      <c r="B10" s="366" t="s">
        <v>7</v>
      </c>
      <c r="C10" s="362">
        <v>241773</v>
      </c>
      <c r="D10" s="363">
        <v>310</v>
      </c>
      <c r="E10" s="363">
        <v>124</v>
      </c>
      <c r="F10" s="363">
        <v>241897</v>
      </c>
      <c r="G10" s="364">
        <f t="shared" si="0"/>
        <v>4342000</v>
      </c>
    </row>
    <row r="11" spans="1:7" x14ac:dyDescent="0.25">
      <c r="A11" s="365">
        <v>15000</v>
      </c>
      <c r="B11" s="366" t="s">
        <v>8</v>
      </c>
      <c r="C11" s="362">
        <v>292533</v>
      </c>
      <c r="D11" s="363">
        <v>65701</v>
      </c>
      <c r="E11" s="363">
        <v>26280.400000000001</v>
      </c>
      <c r="F11" s="363">
        <v>318813.40000000002</v>
      </c>
      <c r="G11" s="364">
        <f t="shared" si="0"/>
        <v>5723000</v>
      </c>
    </row>
    <row r="12" spans="1:7" x14ac:dyDescent="0.25">
      <c r="A12" s="365">
        <v>16000</v>
      </c>
      <c r="B12" s="366" t="s">
        <v>267</v>
      </c>
      <c r="C12" s="362">
        <v>0</v>
      </c>
      <c r="D12" s="363">
        <v>0</v>
      </c>
      <c r="E12" s="363">
        <v>0</v>
      </c>
      <c r="F12" s="363">
        <v>0</v>
      </c>
      <c r="G12" s="364">
        <f t="shared" si="0"/>
        <v>0</v>
      </c>
    </row>
    <row r="13" spans="1:7" x14ac:dyDescent="0.25">
      <c r="A13" s="365">
        <v>17000</v>
      </c>
      <c r="B13" s="366" t="s">
        <v>9</v>
      </c>
      <c r="C13" s="362">
        <v>4273</v>
      </c>
      <c r="D13" s="363">
        <v>0</v>
      </c>
      <c r="E13" s="363">
        <v>0</v>
      </c>
      <c r="F13" s="363">
        <v>4273</v>
      </c>
      <c r="G13" s="364">
        <f t="shared" si="0"/>
        <v>77000</v>
      </c>
    </row>
    <row r="14" spans="1:7" x14ac:dyDescent="0.25">
      <c r="A14" s="365">
        <v>18000</v>
      </c>
      <c r="B14" s="366" t="s">
        <v>10</v>
      </c>
      <c r="C14" s="362">
        <v>28320</v>
      </c>
      <c r="D14" s="363">
        <v>0</v>
      </c>
      <c r="E14" s="363">
        <v>0</v>
      </c>
      <c r="F14" s="363">
        <v>28320</v>
      </c>
      <c r="G14" s="364">
        <f t="shared" si="0"/>
        <v>508000</v>
      </c>
    </row>
    <row r="15" spans="1:7" x14ac:dyDescent="0.25">
      <c r="A15" s="365">
        <v>19000</v>
      </c>
      <c r="B15" s="366" t="s">
        <v>11</v>
      </c>
      <c r="C15" s="362">
        <v>109400</v>
      </c>
      <c r="D15" s="363">
        <v>2312</v>
      </c>
      <c r="E15" s="363">
        <v>924.80000000000007</v>
      </c>
      <c r="F15" s="363">
        <v>110324.8</v>
      </c>
      <c r="G15" s="364">
        <f t="shared" si="0"/>
        <v>1980000</v>
      </c>
    </row>
    <row r="16" spans="1:7" x14ac:dyDescent="0.25">
      <c r="A16" s="365">
        <v>21000</v>
      </c>
      <c r="B16" s="366" t="s">
        <v>12</v>
      </c>
      <c r="C16" s="362">
        <v>632961</v>
      </c>
      <c r="D16" s="363">
        <v>45553</v>
      </c>
      <c r="E16" s="363">
        <v>18221.2</v>
      </c>
      <c r="F16" s="363">
        <v>651182.19999999995</v>
      </c>
      <c r="G16" s="364">
        <f t="shared" si="0"/>
        <v>11689000</v>
      </c>
    </row>
    <row r="17" spans="1:13" x14ac:dyDescent="0.25">
      <c r="A17" s="365">
        <v>22000</v>
      </c>
      <c r="B17" s="366" t="s">
        <v>13</v>
      </c>
      <c r="C17" s="362">
        <v>30134</v>
      </c>
      <c r="D17" s="363">
        <v>2180</v>
      </c>
      <c r="E17" s="363">
        <v>872</v>
      </c>
      <c r="F17" s="363">
        <v>31006</v>
      </c>
      <c r="G17" s="364">
        <f t="shared" si="0"/>
        <v>557000</v>
      </c>
    </row>
    <row r="18" spans="1:13" x14ac:dyDescent="0.25">
      <c r="A18" s="365">
        <v>23000</v>
      </c>
      <c r="B18" s="366" t="s">
        <v>14</v>
      </c>
      <c r="C18" s="362">
        <v>157949</v>
      </c>
      <c r="D18" s="363">
        <v>10548</v>
      </c>
      <c r="E18" s="363">
        <v>4219.2</v>
      </c>
      <c r="F18" s="363">
        <v>162168.20000000001</v>
      </c>
      <c r="G18" s="364">
        <f t="shared" si="0"/>
        <v>2911000</v>
      </c>
      <c r="M18" s="11"/>
    </row>
    <row r="19" spans="1:13" x14ac:dyDescent="0.25">
      <c r="A19" s="365">
        <v>24000</v>
      </c>
      <c r="B19" s="366" t="s">
        <v>15</v>
      </c>
      <c r="C19" s="362">
        <v>157807</v>
      </c>
      <c r="D19" s="363">
        <v>9227</v>
      </c>
      <c r="E19" s="363">
        <v>3690.8</v>
      </c>
      <c r="F19" s="363">
        <v>161497.79999999999</v>
      </c>
      <c r="G19" s="364">
        <f t="shared" si="0"/>
        <v>2899000</v>
      </c>
    </row>
    <row r="20" spans="1:13" x14ac:dyDescent="0.25">
      <c r="A20" s="365">
        <v>25000</v>
      </c>
      <c r="B20" s="366" t="s">
        <v>16</v>
      </c>
      <c r="C20" s="362">
        <v>83628</v>
      </c>
      <c r="D20" s="363">
        <v>174</v>
      </c>
      <c r="E20" s="363">
        <v>69.600000000000009</v>
      </c>
      <c r="F20" s="363">
        <v>83697.600000000006</v>
      </c>
      <c r="G20" s="364">
        <f t="shared" si="0"/>
        <v>1502000</v>
      </c>
    </row>
    <row r="21" spans="1:13" x14ac:dyDescent="0.25">
      <c r="A21" s="365">
        <v>26000</v>
      </c>
      <c r="B21" s="366" t="s">
        <v>17</v>
      </c>
      <c r="C21" s="362">
        <v>632901</v>
      </c>
      <c r="D21" s="363">
        <v>15072</v>
      </c>
      <c r="E21" s="363">
        <v>6028.8</v>
      </c>
      <c r="F21" s="363">
        <v>638929.80000000005</v>
      </c>
      <c r="G21" s="364">
        <f t="shared" si="0"/>
        <v>11469000</v>
      </c>
    </row>
    <row r="22" spans="1:13" x14ac:dyDescent="0.25">
      <c r="A22" s="365">
        <v>27000</v>
      </c>
      <c r="B22" s="366" t="s">
        <v>18</v>
      </c>
      <c r="C22" s="362">
        <v>115963</v>
      </c>
      <c r="D22" s="363">
        <v>31023</v>
      </c>
      <c r="E22" s="363">
        <v>12409.2</v>
      </c>
      <c r="F22" s="363">
        <v>128372.2</v>
      </c>
      <c r="G22" s="364">
        <f t="shared" si="0"/>
        <v>2304000</v>
      </c>
    </row>
    <row r="23" spans="1:13" x14ac:dyDescent="0.25">
      <c r="A23" s="365">
        <v>28000</v>
      </c>
      <c r="B23" s="366" t="s">
        <v>19</v>
      </c>
      <c r="C23" s="362">
        <v>119048</v>
      </c>
      <c r="D23" s="363">
        <v>20496</v>
      </c>
      <c r="E23" s="363">
        <v>8198.4</v>
      </c>
      <c r="F23" s="363">
        <v>127246.39999999999</v>
      </c>
      <c r="G23" s="364">
        <f t="shared" si="0"/>
        <v>2284000</v>
      </c>
    </row>
    <row r="24" spans="1:13" x14ac:dyDescent="0.25">
      <c r="A24" s="365">
        <v>31000</v>
      </c>
      <c r="B24" s="366" t="s">
        <v>20</v>
      </c>
      <c r="C24" s="362">
        <v>149512</v>
      </c>
      <c r="D24" s="363">
        <v>1934</v>
      </c>
      <c r="E24" s="363">
        <v>773.6</v>
      </c>
      <c r="F24" s="363">
        <v>150285.6</v>
      </c>
      <c r="G24" s="364">
        <f t="shared" si="0"/>
        <v>2698000</v>
      </c>
    </row>
    <row r="25" spans="1:13" x14ac:dyDescent="0.25">
      <c r="A25" s="365">
        <v>41000</v>
      </c>
      <c r="B25" s="366" t="s">
        <v>21</v>
      </c>
      <c r="C25" s="362">
        <v>203512</v>
      </c>
      <c r="D25" s="363">
        <v>1382</v>
      </c>
      <c r="E25" s="363">
        <v>552.80000000000007</v>
      </c>
      <c r="F25" s="363">
        <v>204064.8</v>
      </c>
      <c r="G25" s="364">
        <f t="shared" si="0"/>
        <v>3663000</v>
      </c>
    </row>
    <row r="26" spans="1:13" x14ac:dyDescent="0.25">
      <c r="A26" s="365">
        <v>43000</v>
      </c>
      <c r="B26" s="366" t="s">
        <v>22</v>
      </c>
      <c r="C26" s="362">
        <v>127443</v>
      </c>
      <c r="D26" s="363">
        <v>7142</v>
      </c>
      <c r="E26" s="363">
        <v>2856.8</v>
      </c>
      <c r="F26" s="363">
        <v>130299.8</v>
      </c>
      <c r="G26" s="364">
        <f t="shared" si="0"/>
        <v>2339000</v>
      </c>
    </row>
    <row r="27" spans="1:13" x14ac:dyDescent="0.25">
      <c r="A27" s="365">
        <v>51000</v>
      </c>
      <c r="B27" s="366" t="s">
        <v>23</v>
      </c>
      <c r="C27" s="362">
        <v>35194</v>
      </c>
      <c r="D27" s="363">
        <v>15000</v>
      </c>
      <c r="E27" s="363">
        <v>6000</v>
      </c>
      <c r="F27" s="363">
        <v>41194</v>
      </c>
      <c r="G27" s="364">
        <f t="shared" si="0"/>
        <v>739000</v>
      </c>
    </row>
    <row r="28" spans="1:13" x14ac:dyDescent="0.25">
      <c r="A28" s="365">
        <v>52000</v>
      </c>
      <c r="B28" s="366" t="s">
        <v>24</v>
      </c>
      <c r="C28" s="362">
        <v>9009</v>
      </c>
      <c r="D28" s="363">
        <v>0</v>
      </c>
      <c r="E28" s="363">
        <v>0</v>
      </c>
      <c r="F28" s="363">
        <v>9009</v>
      </c>
      <c r="G28" s="364">
        <f t="shared" si="0"/>
        <v>162000</v>
      </c>
    </row>
    <row r="29" spans="1:13" x14ac:dyDescent="0.25">
      <c r="A29" s="365">
        <v>53000</v>
      </c>
      <c r="B29" s="366" t="s">
        <v>25</v>
      </c>
      <c r="C29" s="362">
        <v>0</v>
      </c>
      <c r="D29" s="363">
        <v>0</v>
      </c>
      <c r="E29" s="363">
        <v>0</v>
      </c>
      <c r="F29" s="363">
        <v>0</v>
      </c>
      <c r="G29" s="364">
        <f t="shared" si="0"/>
        <v>0</v>
      </c>
    </row>
    <row r="30" spans="1:13" x14ac:dyDescent="0.25">
      <c r="A30" s="365">
        <v>54000</v>
      </c>
      <c r="B30" s="366" t="s">
        <v>272</v>
      </c>
      <c r="C30" s="362">
        <v>0</v>
      </c>
      <c r="D30" s="363">
        <v>0</v>
      </c>
      <c r="E30" s="363">
        <v>0</v>
      </c>
      <c r="F30" s="363">
        <v>0</v>
      </c>
      <c r="G30" s="364">
        <f t="shared" si="0"/>
        <v>0</v>
      </c>
    </row>
    <row r="31" spans="1:13" x14ac:dyDescent="0.25">
      <c r="A31" s="365">
        <v>55000</v>
      </c>
      <c r="B31" s="366" t="s">
        <v>26</v>
      </c>
      <c r="C31" s="362">
        <v>15372</v>
      </c>
      <c r="D31" s="363">
        <v>0</v>
      </c>
      <c r="E31" s="363">
        <v>0</v>
      </c>
      <c r="F31" s="363">
        <v>15372</v>
      </c>
      <c r="G31" s="364">
        <f t="shared" si="0"/>
        <v>276000</v>
      </c>
    </row>
    <row r="32" spans="1:13" ht="15.75" thickBot="1" x14ac:dyDescent="0.3">
      <c r="A32" s="367">
        <v>56000</v>
      </c>
      <c r="B32" s="368" t="s">
        <v>27</v>
      </c>
      <c r="C32" s="369">
        <v>15011</v>
      </c>
      <c r="D32" s="370">
        <v>2</v>
      </c>
      <c r="E32" s="370">
        <v>0.8</v>
      </c>
      <c r="F32" s="370">
        <v>15011.8</v>
      </c>
      <c r="G32" s="364">
        <f t="shared" si="0"/>
        <v>269000</v>
      </c>
    </row>
    <row r="33" spans="1:7" ht="15.75" thickBot="1" x14ac:dyDescent="0.3">
      <c r="A33" s="371"/>
      <c r="B33" s="372" t="s">
        <v>28</v>
      </c>
      <c r="C33" s="373">
        <f t="shared" ref="C33:F33" si="1">SUM(C7:C32)</f>
        <v>3948326</v>
      </c>
      <c r="D33" s="374">
        <f t="shared" si="1"/>
        <v>276964</v>
      </c>
      <c r="E33" s="374">
        <f t="shared" si="1"/>
        <v>110785.60000000002</v>
      </c>
      <c r="F33" s="374">
        <f t="shared" si="1"/>
        <v>4059111.5999999996</v>
      </c>
      <c r="G33" s="375">
        <f>SUM(G7:G32)</f>
        <v>72861000</v>
      </c>
    </row>
    <row r="34" spans="1:7" x14ac:dyDescent="0.25">
      <c r="A34" s="376"/>
      <c r="B34" s="376"/>
      <c r="C34" s="376"/>
      <c r="D34" s="376"/>
      <c r="E34" s="376"/>
      <c r="F34" s="376"/>
      <c r="G34" s="376"/>
    </row>
    <row r="35" spans="1:7" x14ac:dyDescent="0.25">
      <c r="A35" s="377" t="s">
        <v>130</v>
      </c>
      <c r="B35" s="377"/>
      <c r="C35" s="378"/>
      <c r="D35" s="379"/>
      <c r="E35" s="379"/>
      <c r="F35" s="380"/>
      <c r="G35" s="381">
        <v>17.95</v>
      </c>
    </row>
    <row r="36" spans="1:7" x14ac:dyDescent="0.25">
      <c r="A36" s="382" t="s">
        <v>253</v>
      </c>
      <c r="B36" s="382"/>
      <c r="C36" s="383"/>
      <c r="D36" s="384"/>
      <c r="E36" s="384"/>
      <c r="F36" s="385"/>
      <c r="G36" s="362">
        <f>+G33</f>
        <v>72861000</v>
      </c>
    </row>
    <row r="37" spans="1:7" x14ac:dyDescent="0.25">
      <c r="A37" s="377" t="s">
        <v>321</v>
      </c>
      <c r="B37" s="377"/>
      <c r="C37" s="378"/>
      <c r="D37" s="379"/>
      <c r="E37" s="379"/>
      <c r="F37" s="380"/>
      <c r="G37" s="386">
        <f>'1 Bilance'!O23</f>
        <v>120000000</v>
      </c>
    </row>
    <row r="38" spans="1:7" x14ac:dyDescent="0.25">
      <c r="A38" s="382" t="s">
        <v>131</v>
      </c>
      <c r="B38" s="382"/>
      <c r="C38" s="383"/>
      <c r="D38" s="384"/>
      <c r="E38" s="384"/>
      <c r="F38" s="385"/>
      <c r="G38" s="362">
        <f>G37-G36</f>
        <v>47139000</v>
      </c>
    </row>
    <row r="40" spans="1:7" x14ac:dyDescent="0.25">
      <c r="A40" s="354"/>
    </row>
    <row r="42" spans="1:7" x14ac:dyDescent="0.25">
      <c r="A42" s="609" t="s">
        <v>252</v>
      </c>
    </row>
  </sheetData>
  <mergeCells count="3">
    <mergeCell ref="A5:A6"/>
    <mergeCell ref="B5:B6"/>
    <mergeCell ref="G5:G6"/>
  </mergeCells>
  <hyperlinks>
    <hyperlink ref="A42" location="'0 Seznam'!A1" display="Seznam" xr:uid="{35D35BA0-997C-4FA3-BFE4-E0E57CB952ED}"/>
  </hyperlinks>
  <pageMargins left="0.70866141732283472" right="0.70866141732283472" top="0.78740157480314965" bottom="0.78740157480314965" header="0.31496062992125984" footer="0.31496062992125984"/>
  <pageSetup paperSize="9" scale="73" orientation="landscape" r:id="rId1"/>
  <headerFooter>
    <oddHeader xml:space="preserve">&amp;LČ. j.:999/2024-1
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D46"/>
  <sheetViews>
    <sheetView zoomScale="85" zoomScaleNormal="85" workbookViewId="0">
      <selection activeCell="A46" sqref="A46"/>
    </sheetView>
  </sheetViews>
  <sheetFormatPr defaultRowHeight="15" x14ac:dyDescent="0.25"/>
  <cols>
    <col min="1" max="1" width="9.42578125" customWidth="1"/>
    <col min="2" max="2" width="56.140625" customWidth="1"/>
    <col min="3" max="3" width="13.7109375" customWidth="1"/>
    <col min="4" max="4" width="14.140625" customWidth="1"/>
    <col min="8" max="8" width="12.5703125" bestFit="1" customWidth="1"/>
    <col min="9" max="9" width="10.5703125" bestFit="1" customWidth="1"/>
  </cols>
  <sheetData>
    <row r="1" spans="1:4" ht="27.75" x14ac:dyDescent="0.25">
      <c r="A1" s="272" t="s">
        <v>94</v>
      </c>
      <c r="B1" s="254"/>
      <c r="C1" s="254"/>
      <c r="D1" s="254"/>
    </row>
    <row r="2" spans="1:4" ht="23.25" x14ac:dyDescent="0.25">
      <c r="A2" s="273"/>
      <c r="B2" s="254"/>
      <c r="C2" s="254"/>
      <c r="D2" s="254"/>
    </row>
    <row r="3" spans="1:4" ht="20.25" x14ac:dyDescent="0.25">
      <c r="A3" s="274" t="s">
        <v>297</v>
      </c>
      <c r="B3" s="254"/>
      <c r="C3" s="254"/>
      <c r="D3" s="254"/>
    </row>
    <row r="4" spans="1:4" x14ac:dyDescent="0.25">
      <c r="A4" s="271"/>
      <c r="B4" s="271"/>
      <c r="C4" s="271"/>
      <c r="D4" s="271"/>
    </row>
    <row r="5" spans="1:4" ht="20.25" x14ac:dyDescent="0.25">
      <c r="A5" s="274" t="s">
        <v>95</v>
      </c>
      <c r="B5" s="275"/>
      <c r="C5" s="275"/>
      <c r="D5" s="275"/>
    </row>
    <row r="6" spans="1:4" x14ac:dyDescent="0.25">
      <c r="A6" s="276"/>
      <c r="B6" s="254"/>
      <c r="C6" s="254"/>
      <c r="D6" s="254"/>
    </row>
    <row r="7" spans="1:4" x14ac:dyDescent="0.25">
      <c r="A7" s="1076" t="s">
        <v>96</v>
      </c>
      <c r="B7" s="1077"/>
      <c r="C7" s="1078"/>
      <c r="D7" s="277">
        <f>C43</f>
        <v>140617</v>
      </c>
    </row>
    <row r="8" spans="1:4" x14ac:dyDescent="0.25">
      <c r="A8" s="1076" t="s">
        <v>97</v>
      </c>
      <c r="B8" s="1077"/>
      <c r="C8" s="1078"/>
      <c r="D8" s="277">
        <v>8672</v>
      </c>
    </row>
    <row r="9" spans="1:4" x14ac:dyDescent="0.25">
      <c r="A9" s="1076" t="s">
        <v>98</v>
      </c>
      <c r="B9" s="1077"/>
      <c r="C9" s="1078"/>
      <c r="D9" s="277">
        <v>5400</v>
      </c>
    </row>
    <row r="10" spans="1:4" x14ac:dyDescent="0.25">
      <c r="A10" s="1076" t="s">
        <v>99</v>
      </c>
      <c r="B10" s="1077"/>
      <c r="C10" s="1078"/>
      <c r="D10" s="277">
        <f>'1 Bilance'!O26</f>
        <v>759331800</v>
      </c>
    </row>
    <row r="11" spans="1:4" x14ac:dyDescent="0.25">
      <c r="A11" s="1076" t="s">
        <v>254</v>
      </c>
      <c r="B11" s="1077"/>
      <c r="C11" s="1078"/>
      <c r="D11" s="277">
        <f>'1 Bilance'!O27</f>
        <v>25000000</v>
      </c>
    </row>
    <row r="12" spans="1:4" x14ac:dyDescent="0.25">
      <c r="A12" s="254"/>
      <c r="B12" s="254"/>
      <c r="C12" s="254"/>
      <c r="D12" s="278"/>
    </row>
    <row r="13" spans="1:4" ht="20.25" x14ac:dyDescent="0.25">
      <c r="A13" s="274" t="s">
        <v>100</v>
      </c>
      <c r="B13" s="254"/>
      <c r="C13" s="254"/>
      <c r="D13" s="279"/>
    </row>
    <row r="14" spans="1:4" ht="15.75" thickBot="1" x14ac:dyDescent="0.3">
      <c r="A14" s="254"/>
      <c r="B14" s="254"/>
      <c r="C14" s="254"/>
      <c r="D14" s="280" t="s">
        <v>0</v>
      </c>
    </row>
    <row r="15" spans="1:4" x14ac:dyDescent="0.25">
      <c r="A15" s="1079" t="s">
        <v>2</v>
      </c>
      <c r="B15" s="1081" t="s">
        <v>101</v>
      </c>
      <c r="C15" s="1081" t="s">
        <v>102</v>
      </c>
      <c r="D15" s="1072" t="s">
        <v>103</v>
      </c>
    </row>
    <row r="16" spans="1:4" ht="15.75" thickBot="1" x14ac:dyDescent="0.3">
      <c r="A16" s="1080"/>
      <c r="B16" s="1082"/>
      <c r="C16" s="1082"/>
      <c r="D16" s="1073"/>
    </row>
    <row r="17" spans="1:4" x14ac:dyDescent="0.25">
      <c r="A17" s="281">
        <v>11000</v>
      </c>
      <c r="B17" s="282" t="s">
        <v>4</v>
      </c>
      <c r="C17" s="283">
        <v>23891</v>
      </c>
      <c r="D17" s="284">
        <f>C17*$D$9</f>
        <v>129011400</v>
      </c>
    </row>
    <row r="18" spans="1:4" x14ac:dyDescent="0.25">
      <c r="A18" s="285">
        <v>12000</v>
      </c>
      <c r="B18" s="286" t="s">
        <v>5</v>
      </c>
      <c r="C18" s="287">
        <v>4541</v>
      </c>
      <c r="D18" s="288">
        <f t="shared" ref="D18:D42" si="0">C18*$D$9</f>
        <v>24521400</v>
      </c>
    </row>
    <row r="19" spans="1:4" x14ac:dyDescent="0.25">
      <c r="A19" s="285">
        <v>13000</v>
      </c>
      <c r="B19" s="286" t="s">
        <v>6</v>
      </c>
      <c r="C19" s="287">
        <v>3088</v>
      </c>
      <c r="D19" s="288">
        <f t="shared" si="0"/>
        <v>16675200</v>
      </c>
    </row>
    <row r="20" spans="1:4" x14ac:dyDescent="0.25">
      <c r="A20" s="285">
        <v>14000</v>
      </c>
      <c r="B20" s="286" t="s">
        <v>7</v>
      </c>
      <c r="C20" s="287">
        <v>18393</v>
      </c>
      <c r="D20" s="288">
        <f t="shared" si="0"/>
        <v>99322200</v>
      </c>
    </row>
    <row r="21" spans="1:4" x14ac:dyDescent="0.25">
      <c r="A21" s="285">
        <v>15000</v>
      </c>
      <c r="B21" s="286" t="s">
        <v>8</v>
      </c>
      <c r="C21" s="287">
        <v>10999</v>
      </c>
      <c r="D21" s="288">
        <f t="shared" si="0"/>
        <v>59394600</v>
      </c>
    </row>
    <row r="22" spans="1:4" x14ac:dyDescent="0.25">
      <c r="A22" s="285">
        <v>16000</v>
      </c>
      <c r="B22" s="286" t="s">
        <v>267</v>
      </c>
      <c r="C22" s="287">
        <v>1429</v>
      </c>
      <c r="D22" s="288">
        <f t="shared" si="0"/>
        <v>7716600</v>
      </c>
    </row>
    <row r="23" spans="1:4" x14ac:dyDescent="0.25">
      <c r="A23" s="285">
        <v>17000</v>
      </c>
      <c r="B23" s="286" t="s">
        <v>9</v>
      </c>
      <c r="C23" s="287">
        <v>4086</v>
      </c>
      <c r="D23" s="288">
        <f t="shared" si="0"/>
        <v>22064400</v>
      </c>
    </row>
    <row r="24" spans="1:4" x14ac:dyDescent="0.25">
      <c r="A24" s="285">
        <v>18000</v>
      </c>
      <c r="B24" s="286" t="s">
        <v>10</v>
      </c>
      <c r="C24" s="287">
        <v>2784</v>
      </c>
      <c r="D24" s="288">
        <f t="shared" si="0"/>
        <v>15033600</v>
      </c>
    </row>
    <row r="25" spans="1:4" x14ac:dyDescent="0.25">
      <c r="A25" s="285">
        <v>19000</v>
      </c>
      <c r="B25" s="286" t="s">
        <v>11</v>
      </c>
      <c r="C25" s="287">
        <v>1271</v>
      </c>
      <c r="D25" s="288">
        <f t="shared" si="0"/>
        <v>6863400</v>
      </c>
    </row>
    <row r="26" spans="1:4" x14ac:dyDescent="0.25">
      <c r="A26" s="285">
        <v>21000</v>
      </c>
      <c r="B26" s="286" t="s">
        <v>12</v>
      </c>
      <c r="C26" s="287">
        <v>9871</v>
      </c>
      <c r="D26" s="288">
        <f t="shared" si="0"/>
        <v>53303400</v>
      </c>
    </row>
    <row r="27" spans="1:4" x14ac:dyDescent="0.25">
      <c r="A27" s="285">
        <v>22000</v>
      </c>
      <c r="B27" s="286" t="s">
        <v>13</v>
      </c>
      <c r="C27" s="287">
        <v>2633</v>
      </c>
      <c r="D27" s="288">
        <f t="shared" si="0"/>
        <v>14218200</v>
      </c>
    </row>
    <row r="28" spans="1:4" x14ac:dyDescent="0.25">
      <c r="A28" s="285">
        <v>23000</v>
      </c>
      <c r="B28" s="286" t="s">
        <v>14</v>
      </c>
      <c r="C28" s="287">
        <v>6259</v>
      </c>
      <c r="D28" s="288">
        <f t="shared" si="0"/>
        <v>33798600</v>
      </c>
    </row>
    <row r="29" spans="1:4" x14ac:dyDescent="0.25">
      <c r="A29" s="285">
        <v>24000</v>
      </c>
      <c r="B29" s="286" t="s">
        <v>15</v>
      </c>
      <c r="C29" s="287">
        <v>2711</v>
      </c>
      <c r="D29" s="288">
        <f t="shared" si="0"/>
        <v>14639400</v>
      </c>
    </row>
    <row r="30" spans="1:4" x14ac:dyDescent="0.25">
      <c r="A30" s="285">
        <v>25000</v>
      </c>
      <c r="B30" s="286" t="s">
        <v>16</v>
      </c>
      <c r="C30" s="287">
        <v>3693</v>
      </c>
      <c r="D30" s="288">
        <f t="shared" si="0"/>
        <v>19942200</v>
      </c>
    </row>
    <row r="31" spans="1:4" x14ac:dyDescent="0.25">
      <c r="A31" s="285">
        <v>26000</v>
      </c>
      <c r="B31" s="286" t="s">
        <v>17</v>
      </c>
      <c r="C31" s="287">
        <v>11805</v>
      </c>
      <c r="D31" s="288">
        <f t="shared" si="0"/>
        <v>63747000</v>
      </c>
    </row>
    <row r="32" spans="1:4" x14ac:dyDescent="0.25">
      <c r="A32" s="285">
        <v>27000</v>
      </c>
      <c r="B32" s="286" t="s">
        <v>18</v>
      </c>
      <c r="C32" s="287">
        <v>5447</v>
      </c>
      <c r="D32" s="288">
        <f t="shared" si="0"/>
        <v>29413800</v>
      </c>
    </row>
    <row r="33" spans="1:4" x14ac:dyDescent="0.25">
      <c r="A33" s="285">
        <v>28000</v>
      </c>
      <c r="B33" s="286" t="s">
        <v>19</v>
      </c>
      <c r="C33" s="287">
        <v>3852</v>
      </c>
      <c r="D33" s="288">
        <f t="shared" si="0"/>
        <v>20800800</v>
      </c>
    </row>
    <row r="34" spans="1:4" x14ac:dyDescent="0.25">
      <c r="A34" s="285">
        <v>31000</v>
      </c>
      <c r="B34" s="286" t="s">
        <v>20</v>
      </c>
      <c r="C34" s="287">
        <v>7049</v>
      </c>
      <c r="D34" s="288">
        <f t="shared" si="0"/>
        <v>38064600</v>
      </c>
    </row>
    <row r="35" spans="1:4" x14ac:dyDescent="0.25">
      <c r="A35" s="285">
        <v>41000</v>
      </c>
      <c r="B35" s="286" t="s">
        <v>21</v>
      </c>
      <c r="C35" s="287">
        <v>8841</v>
      </c>
      <c r="D35" s="288">
        <f t="shared" si="0"/>
        <v>47741400</v>
      </c>
    </row>
    <row r="36" spans="1:4" x14ac:dyDescent="0.25">
      <c r="A36" s="285">
        <v>43000</v>
      </c>
      <c r="B36" s="286" t="s">
        <v>22</v>
      </c>
      <c r="C36" s="287">
        <v>4854</v>
      </c>
      <c r="D36" s="288">
        <f t="shared" si="0"/>
        <v>26211600</v>
      </c>
    </row>
    <row r="37" spans="1:4" x14ac:dyDescent="0.25">
      <c r="A37" s="285">
        <v>51000</v>
      </c>
      <c r="B37" s="286" t="s">
        <v>23</v>
      </c>
      <c r="C37" s="287">
        <v>599</v>
      </c>
      <c r="D37" s="288">
        <f t="shared" si="0"/>
        <v>3234600</v>
      </c>
    </row>
    <row r="38" spans="1:4" x14ac:dyDescent="0.25">
      <c r="A38" s="285">
        <v>52000</v>
      </c>
      <c r="B38" s="286" t="s">
        <v>24</v>
      </c>
      <c r="C38" s="287">
        <v>191</v>
      </c>
      <c r="D38" s="288">
        <f t="shared" si="0"/>
        <v>1031400</v>
      </c>
    </row>
    <row r="39" spans="1:4" x14ac:dyDescent="0.25">
      <c r="A39" s="285">
        <v>53000</v>
      </c>
      <c r="B39" s="286" t="s">
        <v>25</v>
      </c>
      <c r="C39" s="287">
        <v>301</v>
      </c>
      <c r="D39" s="288">
        <f t="shared" si="0"/>
        <v>1625400</v>
      </c>
    </row>
    <row r="40" spans="1:4" x14ac:dyDescent="0.25">
      <c r="A40" s="285">
        <v>54000</v>
      </c>
      <c r="B40" s="286" t="s">
        <v>272</v>
      </c>
      <c r="C40" s="287">
        <v>447</v>
      </c>
      <c r="D40" s="288">
        <f t="shared" si="0"/>
        <v>2413800</v>
      </c>
    </row>
    <row r="41" spans="1:4" x14ac:dyDescent="0.25">
      <c r="A41" s="285">
        <v>55000</v>
      </c>
      <c r="B41" s="286" t="s">
        <v>26</v>
      </c>
      <c r="C41" s="287">
        <v>690</v>
      </c>
      <c r="D41" s="288">
        <f t="shared" si="0"/>
        <v>3726000</v>
      </c>
    </row>
    <row r="42" spans="1:4" ht="15" customHeight="1" thickBot="1" x14ac:dyDescent="0.3">
      <c r="A42" s="289">
        <v>56000</v>
      </c>
      <c r="B42" s="290" t="s">
        <v>27</v>
      </c>
      <c r="C42" s="291">
        <v>892</v>
      </c>
      <c r="D42" s="292">
        <f t="shared" si="0"/>
        <v>4816800</v>
      </c>
    </row>
    <row r="43" spans="1:4" ht="15.75" thickBot="1" x14ac:dyDescent="0.3">
      <c r="A43" s="1074" t="s">
        <v>104</v>
      </c>
      <c r="B43" s="1075"/>
      <c r="C43" s="293">
        <f>SUM(C17:C42)</f>
        <v>140617</v>
      </c>
      <c r="D43" s="294">
        <f>SUM(D17:D42)</f>
        <v>759331800</v>
      </c>
    </row>
    <row r="44" spans="1:4" x14ac:dyDescent="0.25">
      <c r="A44" s="254" t="s">
        <v>298</v>
      </c>
      <c r="B44" s="251"/>
      <c r="C44" s="251"/>
      <c r="D44" s="251"/>
    </row>
    <row r="46" spans="1:4" x14ac:dyDescent="0.25">
      <c r="A46" s="609" t="s">
        <v>252</v>
      </c>
    </row>
  </sheetData>
  <mergeCells count="10">
    <mergeCell ref="D15:D16"/>
    <mergeCell ref="A43:B43"/>
    <mergeCell ref="A7:C7"/>
    <mergeCell ref="A8:C8"/>
    <mergeCell ref="A9:C9"/>
    <mergeCell ref="A10:C10"/>
    <mergeCell ref="A11:C11"/>
    <mergeCell ref="A15:A16"/>
    <mergeCell ref="B15:B16"/>
    <mergeCell ref="C15:C16"/>
  </mergeCells>
  <hyperlinks>
    <hyperlink ref="A46" location="'0 Seznam'!A1" display="Seznam" xr:uid="{EB5C426C-071E-4583-BCD6-7E2861A6A861}"/>
  </hyperlinks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 xml:space="preserve">&amp;LČ. j.:999/2024-1
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G35"/>
  <sheetViews>
    <sheetView zoomScale="85" zoomScaleNormal="85" workbookViewId="0">
      <selection activeCell="B28" sqref="B28"/>
    </sheetView>
  </sheetViews>
  <sheetFormatPr defaultRowHeight="15" x14ac:dyDescent="0.25"/>
  <cols>
    <col min="1" max="1" width="11.140625" customWidth="1"/>
    <col min="2" max="2" width="60.7109375" customWidth="1"/>
    <col min="3" max="4" width="18.28515625" customWidth="1"/>
    <col min="5" max="7" width="57.140625" customWidth="1"/>
  </cols>
  <sheetData>
    <row r="1" spans="1:7" ht="27.75" x14ac:dyDescent="0.25">
      <c r="A1" s="463" t="s">
        <v>163</v>
      </c>
      <c r="B1" s="464"/>
      <c r="C1" s="464"/>
    </row>
    <row r="2" spans="1:7" x14ac:dyDescent="0.25">
      <c r="A2" s="465"/>
      <c r="B2" s="464"/>
      <c r="C2" s="464"/>
    </row>
    <row r="3" spans="1:7" ht="20.25" x14ac:dyDescent="0.25">
      <c r="A3" s="466" t="s">
        <v>304</v>
      </c>
      <c r="B3" s="464"/>
      <c r="C3" s="467"/>
    </row>
    <row r="4" spans="1:7" x14ac:dyDescent="0.25">
      <c r="A4" s="468"/>
      <c r="B4" s="464"/>
      <c r="C4" s="467"/>
    </row>
    <row r="5" spans="1:7" ht="15.75" thickBot="1" x14ac:dyDescent="0.3">
      <c r="A5" s="469"/>
      <c r="B5" s="469"/>
      <c r="C5" s="470" t="s">
        <v>0</v>
      </c>
    </row>
    <row r="6" spans="1:7" ht="45.75" thickBot="1" x14ac:dyDescent="0.3">
      <c r="A6" s="471" t="s">
        <v>2</v>
      </c>
      <c r="B6" s="472" t="s">
        <v>3</v>
      </c>
      <c r="C6" s="662" t="s">
        <v>29</v>
      </c>
      <c r="D6" s="472" t="s">
        <v>268</v>
      </c>
    </row>
    <row r="7" spans="1:7" x14ac:dyDescent="0.25">
      <c r="A7" s="473">
        <v>11000</v>
      </c>
      <c r="B7" s="474" t="s">
        <v>4</v>
      </c>
      <c r="C7" s="663">
        <v>0.1832</v>
      </c>
      <c r="D7" s="657">
        <v>226260259</v>
      </c>
      <c r="F7" s="656"/>
      <c r="G7" s="11"/>
    </row>
    <row r="8" spans="1:7" x14ac:dyDescent="0.25">
      <c r="A8" s="475">
        <v>12000</v>
      </c>
      <c r="B8" s="474" t="s">
        <v>5</v>
      </c>
      <c r="C8" s="663">
        <v>3.09E-2</v>
      </c>
      <c r="D8" s="657">
        <v>38180113</v>
      </c>
      <c r="F8" s="656"/>
      <c r="G8" s="11"/>
    </row>
    <row r="9" spans="1:7" x14ac:dyDescent="0.25">
      <c r="A9" s="475">
        <v>13000</v>
      </c>
      <c r="B9" s="474" t="s">
        <v>6</v>
      </c>
      <c r="C9" s="663">
        <v>2.3E-2</v>
      </c>
      <c r="D9" s="657">
        <v>28452218</v>
      </c>
      <c r="F9" s="656"/>
      <c r="G9" s="11"/>
    </row>
    <row r="10" spans="1:7" x14ac:dyDescent="0.25">
      <c r="A10" s="475">
        <v>14000</v>
      </c>
      <c r="B10" s="474" t="s">
        <v>7</v>
      </c>
      <c r="C10" s="663">
        <v>0.1145</v>
      </c>
      <c r="D10" s="657">
        <v>145621080</v>
      </c>
      <c r="E10" s="11"/>
      <c r="F10" s="656"/>
      <c r="G10" s="11"/>
    </row>
    <row r="11" spans="1:7" x14ac:dyDescent="0.25">
      <c r="A11" s="475">
        <v>15000</v>
      </c>
      <c r="B11" s="474" t="s">
        <v>8</v>
      </c>
      <c r="C11" s="663">
        <v>6.5600000000000006E-2</v>
      </c>
      <c r="D11" s="657">
        <v>80999060</v>
      </c>
      <c r="F11" s="656"/>
      <c r="G11" s="11"/>
    </row>
    <row r="12" spans="1:7" x14ac:dyDescent="0.25">
      <c r="A12" s="475">
        <v>16000</v>
      </c>
      <c r="B12" s="474" t="s">
        <v>267</v>
      </c>
      <c r="C12" s="663">
        <v>1.52E-2</v>
      </c>
      <c r="D12" s="657">
        <v>18728875</v>
      </c>
      <c r="F12" s="656"/>
      <c r="G12" s="11"/>
    </row>
    <row r="13" spans="1:7" x14ac:dyDescent="0.25">
      <c r="A13" s="475">
        <v>17000</v>
      </c>
      <c r="B13" s="474" t="s">
        <v>9</v>
      </c>
      <c r="C13" s="663">
        <v>2.7300000000000001E-2</v>
      </c>
      <c r="D13" s="657">
        <v>33693164</v>
      </c>
      <c r="F13" s="656"/>
      <c r="G13" s="11"/>
    </row>
    <row r="14" spans="1:7" x14ac:dyDescent="0.25">
      <c r="A14" s="475">
        <v>18000</v>
      </c>
      <c r="B14" s="474" t="s">
        <v>10</v>
      </c>
      <c r="C14" s="663">
        <v>1.6899999999999998E-2</v>
      </c>
      <c r="D14" s="657">
        <v>20830074</v>
      </c>
      <c r="F14" s="656"/>
      <c r="G14" s="11"/>
    </row>
    <row r="15" spans="1:7" x14ac:dyDescent="0.25">
      <c r="A15" s="475">
        <v>19000</v>
      </c>
      <c r="B15" s="474" t="s">
        <v>11</v>
      </c>
      <c r="C15" s="663">
        <v>1.4500000000000001E-2</v>
      </c>
      <c r="D15" s="657">
        <v>17963807</v>
      </c>
      <c r="F15" s="656"/>
      <c r="G15" s="11"/>
    </row>
    <row r="16" spans="1:7" x14ac:dyDescent="0.25">
      <c r="A16" s="475">
        <v>21000</v>
      </c>
      <c r="B16" s="474" t="s">
        <v>12</v>
      </c>
      <c r="C16" s="664">
        <v>8.6400000000000005E-2</v>
      </c>
      <c r="D16" s="658">
        <v>106722283</v>
      </c>
      <c r="F16" s="656"/>
      <c r="G16" s="11"/>
    </row>
    <row r="17" spans="1:7" x14ac:dyDescent="0.25">
      <c r="A17" s="475">
        <v>22000</v>
      </c>
      <c r="B17" s="474" t="s">
        <v>13</v>
      </c>
      <c r="C17" s="663">
        <v>2.4299999999999999E-2</v>
      </c>
      <c r="D17" s="657">
        <v>30016439</v>
      </c>
      <c r="F17" s="656"/>
      <c r="G17" s="11"/>
    </row>
    <row r="18" spans="1:7" x14ac:dyDescent="0.25">
      <c r="A18" s="475">
        <v>23000</v>
      </c>
      <c r="B18" s="474" t="s">
        <v>14</v>
      </c>
      <c r="C18" s="663">
        <v>3.7100000000000001E-2</v>
      </c>
      <c r="D18" s="657">
        <v>45827155</v>
      </c>
      <c r="F18" s="656"/>
      <c r="G18" s="11"/>
    </row>
    <row r="19" spans="1:7" x14ac:dyDescent="0.25">
      <c r="A19" s="475">
        <v>24000</v>
      </c>
      <c r="B19" s="474" t="s">
        <v>15</v>
      </c>
      <c r="C19" s="663">
        <v>2.1399999999999999E-2</v>
      </c>
      <c r="D19" s="657">
        <v>26401801</v>
      </c>
      <c r="F19" s="656"/>
      <c r="G19" s="11"/>
    </row>
    <row r="20" spans="1:7" x14ac:dyDescent="0.25">
      <c r="A20" s="475">
        <v>25000</v>
      </c>
      <c r="B20" s="474" t="s">
        <v>16</v>
      </c>
      <c r="C20" s="663">
        <v>2.5499999999999998E-2</v>
      </c>
      <c r="D20" s="657">
        <v>31437583</v>
      </c>
      <c r="F20" s="656"/>
      <c r="G20" s="11"/>
    </row>
    <row r="21" spans="1:7" x14ac:dyDescent="0.25">
      <c r="A21" s="475">
        <v>26000</v>
      </c>
      <c r="B21" s="474" t="s">
        <v>17</v>
      </c>
      <c r="C21" s="663">
        <v>6.8699999999999997E-2</v>
      </c>
      <c r="D21" s="657">
        <v>84790450</v>
      </c>
      <c r="F21" s="656"/>
      <c r="G21" s="11"/>
    </row>
    <row r="22" spans="1:7" x14ac:dyDescent="0.25">
      <c r="A22" s="475">
        <v>27000</v>
      </c>
      <c r="B22" s="474" t="s">
        <v>18</v>
      </c>
      <c r="C22" s="663">
        <v>4.6100000000000002E-2</v>
      </c>
      <c r="D22" s="657">
        <v>56913700</v>
      </c>
      <c r="F22" s="656"/>
      <c r="G22" s="11"/>
    </row>
    <row r="23" spans="1:7" x14ac:dyDescent="0.25">
      <c r="A23" s="475">
        <v>28000</v>
      </c>
      <c r="B23" s="474" t="s">
        <v>19</v>
      </c>
      <c r="C23" s="663">
        <v>3.0599999999999999E-2</v>
      </c>
      <c r="D23" s="657">
        <v>37793587</v>
      </c>
      <c r="F23" s="656"/>
      <c r="G23" s="11"/>
    </row>
    <row r="24" spans="1:7" x14ac:dyDescent="0.25">
      <c r="A24" s="475">
        <v>31000</v>
      </c>
      <c r="B24" s="474" t="s">
        <v>20</v>
      </c>
      <c r="C24" s="663">
        <v>3.5900000000000001E-2</v>
      </c>
      <c r="D24" s="657">
        <v>44355853</v>
      </c>
      <c r="F24" s="656"/>
      <c r="G24" s="11"/>
    </row>
    <row r="25" spans="1:7" x14ac:dyDescent="0.25">
      <c r="A25" s="475">
        <v>41000</v>
      </c>
      <c r="B25" s="474" t="s">
        <v>21</v>
      </c>
      <c r="C25" s="663">
        <v>5.0599999999999999E-2</v>
      </c>
      <c r="D25" s="657">
        <v>62479503</v>
      </c>
      <c r="F25" s="656"/>
      <c r="G25" s="11"/>
    </row>
    <row r="26" spans="1:7" x14ac:dyDescent="0.25">
      <c r="A26" s="475">
        <v>43000</v>
      </c>
      <c r="B26" s="474" t="s">
        <v>22</v>
      </c>
      <c r="C26" s="663">
        <v>2.98E-2</v>
      </c>
      <c r="D26" s="657">
        <v>36828863</v>
      </c>
      <c r="F26" s="656"/>
      <c r="G26" s="11"/>
    </row>
    <row r="27" spans="1:7" x14ac:dyDescent="0.25">
      <c r="A27" s="475">
        <v>51000</v>
      </c>
      <c r="B27" s="476" t="s">
        <v>23</v>
      </c>
      <c r="C27" s="664">
        <v>1.7100000000000001E-2</v>
      </c>
      <c r="D27" s="658">
        <v>21133198</v>
      </c>
      <c r="F27" s="656"/>
      <c r="G27" s="11"/>
    </row>
    <row r="28" spans="1:7" x14ac:dyDescent="0.25">
      <c r="A28" s="475">
        <v>52000</v>
      </c>
      <c r="B28" s="476" t="s">
        <v>24</v>
      </c>
      <c r="C28" s="664">
        <v>4.7999999999999996E-3</v>
      </c>
      <c r="D28" s="658">
        <v>5867613</v>
      </c>
      <c r="F28" s="656"/>
      <c r="G28" s="11"/>
    </row>
    <row r="29" spans="1:7" x14ac:dyDescent="0.25">
      <c r="A29" s="475">
        <v>53000</v>
      </c>
      <c r="B29" s="476" t="s">
        <v>25</v>
      </c>
      <c r="C29" s="664">
        <v>6.8999999999999999E-3</v>
      </c>
      <c r="D29" s="658">
        <v>8511521</v>
      </c>
      <c r="F29" s="656"/>
      <c r="G29" s="11"/>
    </row>
    <row r="30" spans="1:7" x14ac:dyDescent="0.25">
      <c r="A30" s="475">
        <v>54000</v>
      </c>
      <c r="B30" s="476" t="s">
        <v>272</v>
      </c>
      <c r="C30" s="664">
        <v>9.9000000000000008E-3</v>
      </c>
      <c r="D30" s="658">
        <v>12276429</v>
      </c>
      <c r="F30" s="656"/>
      <c r="G30" s="11"/>
    </row>
    <row r="31" spans="1:7" x14ac:dyDescent="0.25">
      <c r="A31" s="475">
        <v>55000</v>
      </c>
      <c r="B31" s="476" t="s">
        <v>26</v>
      </c>
      <c r="C31" s="664">
        <v>5.8999999999999999E-3</v>
      </c>
      <c r="D31" s="658">
        <v>7297502</v>
      </c>
      <c r="F31" s="656"/>
      <c r="G31" s="11"/>
    </row>
    <row r="32" spans="1:7" ht="15.75" thickBot="1" x14ac:dyDescent="0.3">
      <c r="A32" s="477">
        <v>56000</v>
      </c>
      <c r="B32" s="434" t="s">
        <v>27</v>
      </c>
      <c r="C32" s="665">
        <v>8.0000000000000002E-3</v>
      </c>
      <c r="D32" s="659">
        <v>9850513</v>
      </c>
      <c r="F32" s="656"/>
      <c r="G32" s="11"/>
    </row>
    <row r="33" spans="1:4" ht="15.75" thickBot="1" x14ac:dyDescent="0.3">
      <c r="A33" s="1083" t="s">
        <v>28</v>
      </c>
      <c r="B33" s="1084"/>
      <c r="C33" s="666">
        <f>SUM(C7:C32)</f>
        <v>1.0001</v>
      </c>
      <c r="D33" s="660">
        <f>SUM(D7:D32)</f>
        <v>1239232643</v>
      </c>
    </row>
    <row r="35" spans="1:4" x14ac:dyDescent="0.25">
      <c r="A35" s="609" t="s">
        <v>252</v>
      </c>
    </row>
  </sheetData>
  <mergeCells count="1">
    <mergeCell ref="A33:B33"/>
  </mergeCells>
  <hyperlinks>
    <hyperlink ref="A35" location="'0 Seznam'!A1" display="Seznam" xr:uid="{94FCE854-8B5C-4802-843A-57FBC76FF195}"/>
  </hyperlinks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 xml:space="preserve">&amp;LČ. j.:999/2024-1
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A1:L31"/>
  <sheetViews>
    <sheetView zoomScale="85" zoomScaleNormal="85" workbookViewId="0">
      <selection activeCell="B28" sqref="B28"/>
    </sheetView>
  </sheetViews>
  <sheetFormatPr defaultRowHeight="15" x14ac:dyDescent="0.25"/>
  <cols>
    <col min="1" max="1" width="10.140625" customWidth="1"/>
    <col min="2" max="2" width="50.85546875" bestFit="1" customWidth="1"/>
    <col min="3" max="3" width="15.42578125" customWidth="1"/>
    <col min="4" max="4" width="45.28515625" bestFit="1" customWidth="1"/>
    <col min="5" max="10" width="18.7109375" customWidth="1"/>
    <col min="11" max="13" width="18.140625" customWidth="1"/>
    <col min="15" max="15" width="16.42578125" bestFit="1" customWidth="1"/>
  </cols>
  <sheetData>
    <row r="1" spans="1:12" ht="27.75" customHeight="1" x14ac:dyDescent="0.25">
      <c r="A1" s="1085" t="s">
        <v>295</v>
      </c>
      <c r="B1" s="1085"/>
      <c r="C1" s="1085"/>
      <c r="D1" s="1085"/>
    </row>
    <row r="2" spans="1:12" ht="15.75" customHeight="1" x14ac:dyDescent="0.25"/>
    <row r="3" spans="1:12" x14ac:dyDescent="0.25">
      <c r="B3" s="562" t="s">
        <v>217</v>
      </c>
      <c r="C3" s="562" t="s">
        <v>218</v>
      </c>
    </row>
    <row r="4" spans="1:12" x14ac:dyDescent="0.25">
      <c r="B4" s="548" t="s">
        <v>111</v>
      </c>
      <c r="C4" s="563">
        <v>0.75</v>
      </c>
    </row>
    <row r="5" spans="1:12" x14ac:dyDescent="0.25">
      <c r="B5" s="548" t="s">
        <v>219</v>
      </c>
      <c r="C5" s="563">
        <v>0.1</v>
      </c>
    </row>
    <row r="6" spans="1:12" x14ac:dyDescent="0.25">
      <c r="B6" s="548" t="s">
        <v>220</v>
      </c>
      <c r="C6" s="563">
        <v>0.1</v>
      </c>
    </row>
    <row r="7" spans="1:12" x14ac:dyDescent="0.25">
      <c r="B7" s="548" t="s">
        <v>221</v>
      </c>
      <c r="C7" s="563">
        <v>0.05</v>
      </c>
    </row>
    <row r="9" spans="1:12" x14ac:dyDescent="0.25">
      <c r="B9" s="39" t="s">
        <v>296</v>
      </c>
      <c r="C9" s="508">
        <f>'1 Bilance'!O51</f>
        <v>100000000</v>
      </c>
    </row>
    <row r="11" spans="1:12" ht="15.75" thickBot="1" x14ac:dyDescent="0.3"/>
    <row r="12" spans="1:12" ht="45.75" thickBot="1" x14ac:dyDescent="0.3">
      <c r="A12" s="564" t="s">
        <v>2</v>
      </c>
      <c r="B12" s="565" t="s">
        <v>222</v>
      </c>
      <c r="C12" s="565" t="s">
        <v>169</v>
      </c>
      <c r="D12" s="566" t="s">
        <v>223</v>
      </c>
      <c r="E12" s="567" t="s">
        <v>111</v>
      </c>
      <c r="F12" s="568" t="s">
        <v>219</v>
      </c>
      <c r="G12" s="568" t="s">
        <v>220</v>
      </c>
      <c r="H12" s="569" t="s">
        <v>221</v>
      </c>
      <c r="I12" s="567" t="s">
        <v>224</v>
      </c>
      <c r="J12" s="570" t="s">
        <v>136</v>
      </c>
    </row>
    <row r="13" spans="1:12" x14ac:dyDescent="0.25">
      <c r="A13" s="482" t="s">
        <v>225</v>
      </c>
      <c r="B13" s="625" t="s">
        <v>6</v>
      </c>
      <c r="C13" s="571">
        <v>13530</v>
      </c>
      <c r="D13" s="629" t="s">
        <v>226</v>
      </c>
      <c r="E13" s="613">
        <v>5.5909432252332664E-2</v>
      </c>
      <c r="F13" s="614">
        <v>4.7490779900058816E-2</v>
      </c>
      <c r="G13" s="614">
        <v>6.4404164149803683E-2</v>
      </c>
      <c r="H13" s="545">
        <v>5.9329367859435177E-2</v>
      </c>
      <c r="I13" s="615">
        <f>$C$4*E13+$C$5*F13+$C$6*G13+$C$7*H13</f>
        <v>5.6088036987207504E-2</v>
      </c>
      <c r="J13" s="547">
        <f>ROUND(I13*$C$9,0)</f>
        <v>5608804</v>
      </c>
      <c r="K13" s="844"/>
      <c r="L13" s="11"/>
    </row>
    <row r="14" spans="1:12" x14ac:dyDescent="0.25">
      <c r="A14" s="490" t="s">
        <v>227</v>
      </c>
      <c r="B14" s="626" t="s">
        <v>9</v>
      </c>
      <c r="C14" s="548">
        <v>17500</v>
      </c>
      <c r="D14" s="630" t="s">
        <v>228</v>
      </c>
      <c r="E14" s="616">
        <v>6.042380794845062E-2</v>
      </c>
      <c r="F14" s="617">
        <v>4.853381493649097E-2</v>
      </c>
      <c r="G14" s="617">
        <v>1.7674512987012989E-2</v>
      </c>
      <c r="H14" s="493">
        <v>5.2764035367930201E-2</v>
      </c>
      <c r="I14" s="616">
        <f t="shared" ref="I14:I28" si="0">$C$4*E14+$C$5*F14+$C$6*G14+$C$7*H14</f>
        <v>5.4576890522084871E-2</v>
      </c>
      <c r="J14" s="437">
        <f t="shared" ref="J14:J28" si="1">ROUND(I14*$C$9,0)</f>
        <v>5457689</v>
      </c>
      <c r="K14" s="844"/>
      <c r="L14" s="11"/>
    </row>
    <row r="15" spans="1:12" ht="15" customHeight="1" x14ac:dyDescent="0.25">
      <c r="A15" s="490" t="s">
        <v>229</v>
      </c>
      <c r="B15" s="626" t="s">
        <v>12</v>
      </c>
      <c r="C15" s="548">
        <v>21450</v>
      </c>
      <c r="D15" s="630" t="s">
        <v>230</v>
      </c>
      <c r="E15" s="616">
        <v>9.1955878045568068E-2</v>
      </c>
      <c r="F15" s="617">
        <v>0.11485263481810593</v>
      </c>
      <c r="G15" s="617">
        <v>0.13426268498942917</v>
      </c>
      <c r="H15" s="493">
        <v>2.9878678881174153E-2</v>
      </c>
      <c r="I15" s="616">
        <f t="shared" si="0"/>
        <v>9.5372374458988274E-2</v>
      </c>
      <c r="J15" s="437">
        <f>ROUND(I15*$C$9+0.1,0)</f>
        <v>9537238</v>
      </c>
      <c r="K15" s="844"/>
      <c r="L15" s="11"/>
    </row>
    <row r="16" spans="1:12" ht="15" customHeight="1" x14ac:dyDescent="0.25">
      <c r="A16" s="490" t="s">
        <v>231</v>
      </c>
      <c r="B16" s="626" t="s">
        <v>14</v>
      </c>
      <c r="C16" s="548">
        <v>23410</v>
      </c>
      <c r="D16" s="630" t="s">
        <v>232</v>
      </c>
      <c r="E16" s="616">
        <v>8.1562028321245109E-2</v>
      </c>
      <c r="F16" s="617">
        <v>4.9022047360775776E-2</v>
      </c>
      <c r="G16" s="617">
        <v>0</v>
      </c>
      <c r="H16" s="493">
        <v>2.8108806124240555E-2</v>
      </c>
      <c r="I16" s="616">
        <f t="shared" si="0"/>
        <v>6.7479166283223438E-2</v>
      </c>
      <c r="J16" s="437">
        <f t="shared" si="1"/>
        <v>6747917</v>
      </c>
      <c r="K16" s="844"/>
      <c r="L16" s="11"/>
    </row>
    <row r="17" spans="1:12" ht="15" customHeight="1" x14ac:dyDescent="0.25">
      <c r="A17" s="490" t="s">
        <v>233</v>
      </c>
      <c r="B17" s="626" t="s">
        <v>15</v>
      </c>
      <c r="C17" s="548">
        <v>24520</v>
      </c>
      <c r="D17" s="630" t="s">
        <v>234</v>
      </c>
      <c r="E17" s="616">
        <v>1.1156092136324661E-2</v>
      </c>
      <c r="F17" s="617">
        <v>2.0330675124896263E-2</v>
      </c>
      <c r="G17" s="617">
        <v>6.4935064935064939E-3</v>
      </c>
      <c r="H17" s="493">
        <v>4.8507499266246423E-2</v>
      </c>
      <c r="I17" s="616">
        <f t="shared" si="0"/>
        <v>1.3474862227396094E-2</v>
      </c>
      <c r="J17" s="437">
        <f t="shared" si="1"/>
        <v>1347486</v>
      </c>
      <c r="K17" s="844"/>
      <c r="L17" s="11"/>
    </row>
    <row r="18" spans="1:12" ht="15" customHeight="1" x14ac:dyDescent="0.25">
      <c r="A18" s="490" t="s">
        <v>235</v>
      </c>
      <c r="B18" s="626" t="s">
        <v>16</v>
      </c>
      <c r="C18" s="548">
        <v>25110</v>
      </c>
      <c r="D18" s="630" t="s">
        <v>236</v>
      </c>
      <c r="E18" s="616">
        <v>4.5849547197071754E-3</v>
      </c>
      <c r="F18" s="617">
        <v>6.7950045170361443E-3</v>
      </c>
      <c r="G18" s="617">
        <v>0</v>
      </c>
      <c r="H18" s="493">
        <v>7.8703706164455323E-2</v>
      </c>
      <c r="I18" s="616">
        <f t="shared" si="0"/>
        <v>8.0534017997067626E-3</v>
      </c>
      <c r="J18" s="437">
        <f t="shared" si="1"/>
        <v>805340</v>
      </c>
      <c r="K18" s="844"/>
      <c r="L18" s="11"/>
    </row>
    <row r="19" spans="1:12" ht="15" customHeight="1" x14ac:dyDescent="0.25">
      <c r="A19" s="490" t="s">
        <v>237</v>
      </c>
      <c r="B19" s="626" t="s">
        <v>17</v>
      </c>
      <c r="C19" s="548">
        <v>26410</v>
      </c>
      <c r="D19" s="630" t="s">
        <v>230</v>
      </c>
      <c r="E19" s="616">
        <v>2.326608959191458E-2</v>
      </c>
      <c r="F19" s="617">
        <v>3.6526755332418274E-2</v>
      </c>
      <c r="G19" s="617">
        <v>3.6351838568408332E-2</v>
      </c>
      <c r="H19" s="493">
        <v>3.0727936451408869E-2</v>
      </c>
      <c r="I19" s="616">
        <f t="shared" si="0"/>
        <v>2.6273823406589042E-2</v>
      </c>
      <c r="J19" s="437">
        <f t="shared" si="1"/>
        <v>2627382</v>
      </c>
      <c r="K19" s="844"/>
      <c r="L19" s="11"/>
    </row>
    <row r="20" spans="1:12" ht="15" customHeight="1" x14ac:dyDescent="0.25">
      <c r="A20" s="490" t="s">
        <v>237</v>
      </c>
      <c r="B20" s="626" t="s">
        <v>17</v>
      </c>
      <c r="C20" s="548">
        <v>26420</v>
      </c>
      <c r="D20" s="630" t="s">
        <v>238</v>
      </c>
      <c r="E20" s="616">
        <v>9.9383263328270438E-2</v>
      </c>
      <c r="F20" s="617">
        <v>4.2585363136603632E-2</v>
      </c>
      <c r="G20" s="617">
        <v>7.5349214738749629E-2</v>
      </c>
      <c r="H20" s="493">
        <v>5.1380950282168936E-2</v>
      </c>
      <c r="I20" s="616">
        <f t="shared" si="0"/>
        <v>8.8899952797846613E-2</v>
      </c>
      <c r="J20" s="437">
        <f t="shared" si="1"/>
        <v>8889995</v>
      </c>
      <c r="K20" s="844"/>
      <c r="L20" s="11"/>
    </row>
    <row r="21" spans="1:12" ht="15" customHeight="1" x14ac:dyDescent="0.25">
      <c r="A21" s="490" t="s">
        <v>239</v>
      </c>
      <c r="B21" s="626" t="s">
        <v>19</v>
      </c>
      <c r="C21" s="548">
        <v>28130</v>
      </c>
      <c r="D21" s="630" t="s">
        <v>240</v>
      </c>
      <c r="E21" s="616">
        <v>5.4106125579328916E-2</v>
      </c>
      <c r="F21" s="617">
        <v>5.2676862473153743E-2</v>
      </c>
      <c r="G21" s="617">
        <v>0.1273336038961039</v>
      </c>
      <c r="H21" s="493">
        <v>2.4187102096491879E-2</v>
      </c>
      <c r="I21" s="616">
        <f t="shared" si="0"/>
        <v>5.978999592624705E-2</v>
      </c>
      <c r="J21" s="437">
        <f t="shared" si="1"/>
        <v>5979000</v>
      </c>
      <c r="K21" s="844"/>
      <c r="L21" s="11"/>
    </row>
    <row r="22" spans="1:12" ht="15" customHeight="1" x14ac:dyDescent="0.25">
      <c r="A22" s="490" t="s">
        <v>241</v>
      </c>
      <c r="B22" s="626" t="s">
        <v>23</v>
      </c>
      <c r="C22" s="548">
        <v>51110</v>
      </c>
      <c r="D22" s="630" t="s">
        <v>242</v>
      </c>
      <c r="E22" s="616">
        <v>0.11883799099412293</v>
      </c>
      <c r="F22" s="617">
        <v>0.13064966358377311</v>
      </c>
      <c r="G22" s="617">
        <v>9.3990203110842649E-2</v>
      </c>
      <c r="H22" s="493">
        <v>8.9919621971960337E-2</v>
      </c>
      <c r="I22" s="616">
        <f t="shared" si="0"/>
        <v>0.11608846101365178</v>
      </c>
      <c r="J22" s="437">
        <f t="shared" si="1"/>
        <v>11608846</v>
      </c>
      <c r="K22" s="844"/>
      <c r="L22" s="11"/>
    </row>
    <row r="23" spans="1:12" ht="15" customHeight="1" x14ac:dyDescent="0.25">
      <c r="A23" s="490" t="s">
        <v>241</v>
      </c>
      <c r="B23" s="626" t="s">
        <v>23</v>
      </c>
      <c r="C23" s="548">
        <v>51210</v>
      </c>
      <c r="D23" s="630" t="s">
        <v>243</v>
      </c>
      <c r="E23" s="616">
        <v>4.5400848232398518E-2</v>
      </c>
      <c r="F23" s="617">
        <v>8.4402273044598908E-2</v>
      </c>
      <c r="G23" s="617">
        <v>0.11908836076713983</v>
      </c>
      <c r="H23" s="493">
        <v>7.6455831763634463E-2</v>
      </c>
      <c r="I23" s="616">
        <f t="shared" si="0"/>
        <v>5.8222491143654485E-2</v>
      </c>
      <c r="J23" s="437">
        <f t="shared" si="1"/>
        <v>5822249</v>
      </c>
      <c r="K23" s="844"/>
      <c r="L23" s="11"/>
    </row>
    <row r="24" spans="1:12" ht="15" customHeight="1" x14ac:dyDescent="0.25">
      <c r="A24" s="490" t="s">
        <v>241</v>
      </c>
      <c r="B24" s="626" t="s">
        <v>23</v>
      </c>
      <c r="C24" s="548">
        <v>51310</v>
      </c>
      <c r="D24" s="630" t="s">
        <v>244</v>
      </c>
      <c r="E24" s="616">
        <v>5.5619717507536963E-2</v>
      </c>
      <c r="F24" s="617">
        <v>7.5135982997021081E-2</v>
      </c>
      <c r="G24" s="617">
        <v>3.6315501359106009E-2</v>
      </c>
      <c r="H24" s="493">
        <v>7.6780807230077769E-2</v>
      </c>
      <c r="I24" s="616">
        <f t="shared" si="0"/>
        <v>5.6698976927769318E-2</v>
      </c>
      <c r="J24" s="437">
        <f t="shared" si="1"/>
        <v>5669898</v>
      </c>
      <c r="K24" s="844"/>
      <c r="L24" s="11"/>
    </row>
    <row r="25" spans="1:12" ht="15" customHeight="1" x14ac:dyDescent="0.25">
      <c r="A25" s="490" t="s">
        <v>245</v>
      </c>
      <c r="B25" s="626" t="s">
        <v>24</v>
      </c>
      <c r="C25" s="548">
        <v>52900</v>
      </c>
      <c r="D25" s="630" t="s">
        <v>246</v>
      </c>
      <c r="E25" s="616">
        <v>7.5093517600640064E-2</v>
      </c>
      <c r="F25" s="617">
        <v>3.8421818768661894E-2</v>
      </c>
      <c r="G25" s="617">
        <v>6.0483520839625486E-2</v>
      </c>
      <c r="H25" s="493">
        <v>8.8555075391896526E-2</v>
      </c>
      <c r="I25" s="616">
        <f t="shared" si="0"/>
        <v>7.0638425930903609E-2</v>
      </c>
      <c r="J25" s="437">
        <f>ROUND(I25*$C$9-0.1,0)</f>
        <v>7063842</v>
      </c>
      <c r="K25" s="844"/>
      <c r="L25" s="11"/>
    </row>
    <row r="26" spans="1:12" ht="15" customHeight="1" x14ac:dyDescent="0.25">
      <c r="A26" s="490" t="s">
        <v>247</v>
      </c>
      <c r="B26" s="626" t="s">
        <v>25</v>
      </c>
      <c r="C26" s="548">
        <v>53900</v>
      </c>
      <c r="D26" s="630" t="s">
        <v>246</v>
      </c>
      <c r="E26" s="616">
        <v>0.10462150783896478</v>
      </c>
      <c r="F26" s="617">
        <v>5.9680008738715359E-2</v>
      </c>
      <c r="G26" s="617">
        <v>0.10732218363032316</v>
      </c>
      <c r="H26" s="493">
        <v>6.3804918609009151E-2</v>
      </c>
      <c r="I26" s="616">
        <f t="shared" si="0"/>
        <v>9.8356596046577885E-2</v>
      </c>
      <c r="J26" s="437">
        <f t="shared" si="1"/>
        <v>9835660</v>
      </c>
      <c r="K26" s="844"/>
      <c r="L26" s="11"/>
    </row>
    <row r="27" spans="1:12" ht="15" customHeight="1" x14ac:dyDescent="0.25">
      <c r="A27" s="495" t="s">
        <v>248</v>
      </c>
      <c r="B27" s="627" t="s">
        <v>272</v>
      </c>
      <c r="C27" s="572">
        <v>54510</v>
      </c>
      <c r="D27" s="631" t="s">
        <v>249</v>
      </c>
      <c r="E27" s="616">
        <v>7.9051424864125502E-2</v>
      </c>
      <c r="F27" s="617">
        <v>0.12734832003362828</v>
      </c>
      <c r="G27" s="617">
        <v>7.8121696617336145E-2</v>
      </c>
      <c r="H27" s="493">
        <v>0.11151679041841739</v>
      </c>
      <c r="I27" s="616">
        <f t="shared" si="0"/>
        <v>8.5411409834111454E-2</v>
      </c>
      <c r="J27" s="437">
        <f t="shared" si="1"/>
        <v>8541141</v>
      </c>
      <c r="K27" s="844"/>
      <c r="L27" s="11"/>
    </row>
    <row r="28" spans="1:12" ht="15.75" customHeight="1" thickBot="1" x14ac:dyDescent="0.3">
      <c r="A28" s="511" t="s">
        <v>248</v>
      </c>
      <c r="B28" s="628" t="s">
        <v>272</v>
      </c>
      <c r="C28" s="549">
        <v>54530</v>
      </c>
      <c r="D28" s="632" t="s">
        <v>243</v>
      </c>
      <c r="E28" s="618">
        <v>3.9027321039068988E-2</v>
      </c>
      <c r="F28" s="619">
        <v>6.5547995234061851E-2</v>
      </c>
      <c r="G28" s="619">
        <v>4.2809007852612505E-2</v>
      </c>
      <c r="H28" s="552">
        <v>8.9378872121452776E-2</v>
      </c>
      <c r="I28" s="618">
        <f t="shared" si="0"/>
        <v>4.4575134694041812E-2</v>
      </c>
      <c r="J28" s="555">
        <f t="shared" si="1"/>
        <v>4457513</v>
      </c>
      <c r="K28" s="844"/>
      <c r="L28" s="11"/>
    </row>
    <row r="29" spans="1:12" ht="15.75" customHeight="1" thickBot="1" x14ac:dyDescent="0.3">
      <c r="A29" s="1086" t="s">
        <v>118</v>
      </c>
      <c r="B29" s="1087"/>
      <c r="C29" s="1087"/>
      <c r="D29" s="1087"/>
      <c r="E29" s="620">
        <f>SUM(E13:E28)</f>
        <v>1</v>
      </c>
      <c r="F29" s="621">
        <f t="shared" ref="F29:J29" si="2">SUM(F13:F28)</f>
        <v>1</v>
      </c>
      <c r="G29" s="621">
        <f t="shared" si="2"/>
        <v>1</v>
      </c>
      <c r="H29" s="622">
        <f t="shared" si="2"/>
        <v>1</v>
      </c>
      <c r="I29" s="623">
        <f t="shared" si="2"/>
        <v>1</v>
      </c>
      <c r="J29" s="624">
        <f t="shared" si="2"/>
        <v>100000000</v>
      </c>
    </row>
    <row r="31" spans="1:12" ht="15" customHeight="1" x14ac:dyDescent="0.25">
      <c r="A31" s="609" t="s">
        <v>252</v>
      </c>
    </row>
  </sheetData>
  <mergeCells count="2">
    <mergeCell ref="A1:D1"/>
    <mergeCell ref="A29:D29"/>
  </mergeCells>
  <hyperlinks>
    <hyperlink ref="A31" location="'0 Seznam'!A1" display="Seznam" xr:uid="{A491B748-68D3-42EC-9BD0-06650C97EF5B}"/>
  </hyperlinks>
  <pageMargins left="0.70866141732283472" right="0.70866141732283472" top="0.78740157480314965" bottom="0.78740157480314965" header="0.31496062992125984" footer="0.31496062992125984"/>
  <pageSetup paperSize="9" scale="73" orientation="landscape" r:id="rId1"/>
  <headerFooter>
    <oddHeader xml:space="preserve">&amp;LČ. j.:999/2024-1
</oddHeader>
  </headerFooter>
  <ignoredErrors>
    <ignoredError sqref="J15 J25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G39"/>
  <sheetViews>
    <sheetView zoomScale="85" zoomScaleNormal="85" workbookViewId="0">
      <selection activeCell="AF53" sqref="AE53:AF53"/>
    </sheetView>
  </sheetViews>
  <sheetFormatPr defaultRowHeight="15" x14ac:dyDescent="0.25"/>
  <cols>
    <col min="1" max="1" width="11.140625" customWidth="1"/>
    <col min="2" max="2" width="61.85546875" customWidth="1"/>
    <col min="3" max="5" width="15.7109375" customWidth="1"/>
    <col min="7" max="7" width="14.5703125" customWidth="1"/>
  </cols>
  <sheetData>
    <row r="1" spans="1:7" ht="27.75" customHeight="1" x14ac:dyDescent="0.25">
      <c r="A1" s="1085" t="s">
        <v>139</v>
      </c>
      <c r="B1" s="1085"/>
      <c r="C1" s="1085"/>
      <c r="D1" s="1085"/>
      <c r="E1" s="1085"/>
    </row>
    <row r="2" spans="1:7" ht="15.75" x14ac:dyDescent="0.25">
      <c r="A2" s="391"/>
      <c r="B2" s="391"/>
      <c r="C2" s="391"/>
      <c r="D2" s="391"/>
      <c r="E2" s="391"/>
    </row>
    <row r="3" spans="1:7" ht="47.25" customHeight="1" x14ac:dyDescent="0.25">
      <c r="A3" s="1090" t="s">
        <v>294</v>
      </c>
      <c r="B3" s="1090"/>
      <c r="C3" s="1090"/>
      <c r="D3" s="1090"/>
      <c r="E3" s="1090"/>
    </row>
    <row r="4" spans="1:7" x14ac:dyDescent="0.25">
      <c r="A4" s="392"/>
      <c r="B4" s="392"/>
      <c r="C4" s="392"/>
      <c r="D4" s="392"/>
      <c r="E4" s="392"/>
    </row>
    <row r="5" spans="1:7" x14ac:dyDescent="0.25">
      <c r="A5" s="393" t="s">
        <v>140</v>
      </c>
      <c r="B5" s="394"/>
      <c r="C5" s="394"/>
      <c r="D5" s="395"/>
      <c r="E5" s="396">
        <f>'1 Bilance'!O44</f>
        <v>25000000</v>
      </c>
    </row>
    <row r="6" spans="1:7" x14ac:dyDescent="0.25">
      <c r="A6" s="393" t="s">
        <v>141</v>
      </c>
      <c r="B6" s="394"/>
      <c r="C6" s="394"/>
      <c r="D6" s="395"/>
      <c r="E6" s="397">
        <f>E5/D37</f>
        <v>29.192596990943873</v>
      </c>
    </row>
    <row r="7" spans="1:7" x14ac:dyDescent="0.25">
      <c r="A7" s="398"/>
      <c r="B7" s="398"/>
      <c r="C7" s="398"/>
      <c r="D7" s="398"/>
      <c r="E7" s="399"/>
    </row>
    <row r="8" spans="1:7" ht="15.75" thickBot="1" x14ac:dyDescent="0.3">
      <c r="A8" s="400"/>
      <c r="B8" s="400"/>
      <c r="C8" s="400"/>
      <c r="D8" s="400"/>
      <c r="E8" s="401" t="s">
        <v>0</v>
      </c>
    </row>
    <row r="9" spans="1:7" x14ac:dyDescent="0.25">
      <c r="A9" s="1091" t="s">
        <v>2</v>
      </c>
      <c r="B9" s="1093" t="s">
        <v>3</v>
      </c>
      <c r="C9" s="1095" t="s">
        <v>142</v>
      </c>
      <c r="D9" s="1096"/>
      <c r="E9" s="1097" t="s">
        <v>285</v>
      </c>
    </row>
    <row r="10" spans="1:7" ht="45.75" thickBot="1" x14ac:dyDescent="0.3">
      <c r="A10" s="1092"/>
      <c r="B10" s="1094"/>
      <c r="C10" s="402" t="s">
        <v>143</v>
      </c>
      <c r="D10" s="403" t="s">
        <v>144</v>
      </c>
      <c r="E10" s="1098"/>
    </row>
    <row r="11" spans="1:7" x14ac:dyDescent="0.25">
      <c r="A11" s="404">
        <v>11000</v>
      </c>
      <c r="B11" s="405" t="s">
        <v>4</v>
      </c>
      <c r="C11" s="406">
        <v>6453</v>
      </c>
      <c r="D11" s="407">
        <v>164392.70000000001</v>
      </c>
      <c r="E11" s="408">
        <f>ROUND(D11*$E$6,-3)</f>
        <v>4799000</v>
      </c>
      <c r="G11" s="606"/>
    </row>
    <row r="12" spans="1:7" x14ac:dyDescent="0.25">
      <c r="A12" s="409">
        <v>12000</v>
      </c>
      <c r="B12" s="410" t="s">
        <v>5</v>
      </c>
      <c r="C12" s="411">
        <v>1327</v>
      </c>
      <c r="D12" s="412">
        <v>31185.5</v>
      </c>
      <c r="E12" s="408">
        <f>ROUND(D12*$E$6+80,-3)</f>
        <v>910000</v>
      </c>
      <c r="G12" s="11"/>
    </row>
    <row r="13" spans="1:7" x14ac:dyDescent="0.25">
      <c r="A13" s="409">
        <v>13000</v>
      </c>
      <c r="B13" s="410" t="s">
        <v>6</v>
      </c>
      <c r="C13" s="411">
        <v>2630</v>
      </c>
      <c r="D13" s="412">
        <v>44405.4</v>
      </c>
      <c r="E13" s="408">
        <f t="shared" ref="E13:E36" si="0">ROUND(D13*$E$6,-3)</f>
        <v>1296000</v>
      </c>
      <c r="G13" s="11"/>
    </row>
    <row r="14" spans="1:7" x14ac:dyDescent="0.25">
      <c r="A14" s="409">
        <v>14000</v>
      </c>
      <c r="B14" s="410" t="s">
        <v>7</v>
      </c>
      <c r="C14" s="411">
        <v>4226</v>
      </c>
      <c r="D14" s="412">
        <v>50455.9</v>
      </c>
      <c r="E14" s="408">
        <f t="shared" si="0"/>
        <v>1473000</v>
      </c>
      <c r="G14" s="11"/>
    </row>
    <row r="15" spans="1:7" x14ac:dyDescent="0.25">
      <c r="A15" s="409">
        <v>15000</v>
      </c>
      <c r="B15" s="410" t="s">
        <v>8</v>
      </c>
      <c r="C15" s="411">
        <v>1808</v>
      </c>
      <c r="D15" s="412">
        <v>33714.300000000003</v>
      </c>
      <c r="E15" s="408">
        <f t="shared" si="0"/>
        <v>984000</v>
      </c>
      <c r="G15" s="11"/>
    </row>
    <row r="16" spans="1:7" x14ac:dyDescent="0.25">
      <c r="A16" s="409">
        <v>16000</v>
      </c>
      <c r="B16" s="410" t="s">
        <v>267</v>
      </c>
      <c r="C16" s="411">
        <v>77</v>
      </c>
      <c r="D16" s="412">
        <v>1002.6</v>
      </c>
      <c r="E16" s="408">
        <f t="shared" si="0"/>
        <v>29000</v>
      </c>
      <c r="G16" s="11"/>
    </row>
    <row r="17" spans="1:7" x14ac:dyDescent="0.25">
      <c r="A17" s="409">
        <v>17000</v>
      </c>
      <c r="B17" s="410" t="s">
        <v>9</v>
      </c>
      <c r="C17" s="411">
        <v>2338</v>
      </c>
      <c r="D17" s="412">
        <v>53267.6</v>
      </c>
      <c r="E17" s="408">
        <f t="shared" si="0"/>
        <v>1555000</v>
      </c>
      <c r="G17" s="11"/>
    </row>
    <row r="18" spans="1:7" x14ac:dyDescent="0.25">
      <c r="A18" s="409">
        <v>18000</v>
      </c>
      <c r="B18" s="410" t="s">
        <v>10</v>
      </c>
      <c r="C18" s="411">
        <v>960</v>
      </c>
      <c r="D18" s="412">
        <v>16741.599999999999</v>
      </c>
      <c r="E18" s="408">
        <f t="shared" si="0"/>
        <v>489000</v>
      </c>
      <c r="G18" s="11"/>
    </row>
    <row r="19" spans="1:7" x14ac:dyDescent="0.25">
      <c r="A19" s="409">
        <v>19000</v>
      </c>
      <c r="B19" s="410" t="s">
        <v>11</v>
      </c>
      <c r="C19" s="411">
        <v>799</v>
      </c>
      <c r="D19" s="412">
        <v>28821.3</v>
      </c>
      <c r="E19" s="408">
        <f t="shared" si="0"/>
        <v>841000</v>
      </c>
      <c r="G19" s="11"/>
    </row>
    <row r="20" spans="1:7" x14ac:dyDescent="0.25">
      <c r="A20" s="409">
        <v>21000</v>
      </c>
      <c r="B20" s="410" t="s">
        <v>12</v>
      </c>
      <c r="C20" s="411">
        <v>1386</v>
      </c>
      <c r="D20" s="412">
        <v>45134.2</v>
      </c>
      <c r="E20" s="408">
        <f>ROUND(D20*$E$6,-3)</f>
        <v>1318000</v>
      </c>
      <c r="G20" s="11"/>
    </row>
    <row r="21" spans="1:7" x14ac:dyDescent="0.25">
      <c r="A21" s="409">
        <v>22000</v>
      </c>
      <c r="B21" s="410" t="s">
        <v>13</v>
      </c>
      <c r="C21" s="411">
        <v>225</v>
      </c>
      <c r="D21" s="412">
        <v>8644.1</v>
      </c>
      <c r="E21" s="408">
        <f>ROUND(D21*$E$6,-3)</f>
        <v>252000</v>
      </c>
      <c r="G21" s="11"/>
    </row>
    <row r="22" spans="1:7" x14ac:dyDescent="0.25">
      <c r="A22" s="409">
        <v>23000</v>
      </c>
      <c r="B22" s="410" t="s">
        <v>14</v>
      </c>
      <c r="C22" s="411">
        <v>4091</v>
      </c>
      <c r="D22" s="412">
        <v>70579.7</v>
      </c>
      <c r="E22" s="408">
        <f t="shared" si="0"/>
        <v>2060000</v>
      </c>
      <c r="G22" s="11"/>
    </row>
    <row r="23" spans="1:7" x14ac:dyDescent="0.25">
      <c r="A23" s="409">
        <v>24000</v>
      </c>
      <c r="B23" s="410" t="s">
        <v>15</v>
      </c>
      <c r="C23" s="411">
        <v>1562</v>
      </c>
      <c r="D23" s="412">
        <v>43602.400000000001</v>
      </c>
      <c r="E23" s="408">
        <f t="shared" si="0"/>
        <v>1273000</v>
      </c>
      <c r="G23" s="11"/>
    </row>
    <row r="24" spans="1:7" x14ac:dyDescent="0.25">
      <c r="A24" s="409">
        <v>25000</v>
      </c>
      <c r="B24" s="410" t="s">
        <v>16</v>
      </c>
      <c r="C24" s="411">
        <v>882</v>
      </c>
      <c r="D24" s="412">
        <v>25977.8</v>
      </c>
      <c r="E24" s="408">
        <f t="shared" si="0"/>
        <v>758000</v>
      </c>
      <c r="G24" s="11"/>
    </row>
    <row r="25" spans="1:7" x14ac:dyDescent="0.25">
      <c r="A25" s="409">
        <v>26000</v>
      </c>
      <c r="B25" s="410" t="s">
        <v>17</v>
      </c>
      <c r="C25" s="411">
        <v>1674</v>
      </c>
      <c r="D25" s="412">
        <v>29941.8</v>
      </c>
      <c r="E25" s="408">
        <f t="shared" si="0"/>
        <v>874000</v>
      </c>
      <c r="G25" s="11"/>
    </row>
    <row r="26" spans="1:7" x14ac:dyDescent="0.25">
      <c r="A26" s="409">
        <v>27000</v>
      </c>
      <c r="B26" s="410" t="s">
        <v>18</v>
      </c>
      <c r="C26" s="411">
        <v>421</v>
      </c>
      <c r="D26" s="412">
        <v>10581</v>
      </c>
      <c r="E26" s="408">
        <f t="shared" si="0"/>
        <v>309000</v>
      </c>
      <c r="G26" s="11"/>
    </row>
    <row r="27" spans="1:7" x14ac:dyDescent="0.25">
      <c r="A27" s="409">
        <v>28000</v>
      </c>
      <c r="B27" s="410" t="s">
        <v>19</v>
      </c>
      <c r="C27" s="411">
        <v>785</v>
      </c>
      <c r="D27" s="412">
        <v>27452.799999999999</v>
      </c>
      <c r="E27" s="408">
        <f>ROUND(D27*$E$6,-3)</f>
        <v>801000</v>
      </c>
      <c r="G27" s="11"/>
    </row>
    <row r="28" spans="1:7" x14ac:dyDescent="0.25">
      <c r="A28" s="409">
        <v>31000</v>
      </c>
      <c r="B28" s="410" t="s">
        <v>20</v>
      </c>
      <c r="C28" s="411">
        <v>2515</v>
      </c>
      <c r="D28" s="412">
        <v>59112.5</v>
      </c>
      <c r="E28" s="408">
        <f>ROUND(D28*$E$6,-3)</f>
        <v>1726000</v>
      </c>
      <c r="G28" s="11"/>
    </row>
    <row r="29" spans="1:7" x14ac:dyDescent="0.25">
      <c r="A29" s="409">
        <v>41000</v>
      </c>
      <c r="B29" s="410" t="s">
        <v>21</v>
      </c>
      <c r="C29" s="411">
        <v>13506</v>
      </c>
      <c r="D29" s="412">
        <v>35757.5</v>
      </c>
      <c r="E29" s="408">
        <f t="shared" si="0"/>
        <v>1044000</v>
      </c>
      <c r="G29" s="11"/>
    </row>
    <row r="30" spans="1:7" x14ac:dyDescent="0.25">
      <c r="A30" s="409">
        <v>43000</v>
      </c>
      <c r="B30" s="410" t="s">
        <v>22</v>
      </c>
      <c r="C30" s="411">
        <v>1282</v>
      </c>
      <c r="D30" s="412">
        <v>55716.7</v>
      </c>
      <c r="E30" s="408">
        <f>ROUND(D30*$E$6,-3)</f>
        <v>1627000</v>
      </c>
      <c r="G30" s="11"/>
    </row>
    <row r="31" spans="1:7" x14ac:dyDescent="0.25">
      <c r="A31" s="409">
        <v>51000</v>
      </c>
      <c r="B31" s="410" t="s">
        <v>23</v>
      </c>
      <c r="C31" s="413">
        <v>0</v>
      </c>
      <c r="D31" s="414">
        <v>0</v>
      </c>
      <c r="E31" s="415">
        <f t="shared" si="0"/>
        <v>0</v>
      </c>
      <c r="G31" s="11"/>
    </row>
    <row r="32" spans="1:7" x14ac:dyDescent="0.25">
      <c r="A32" s="409">
        <v>52000</v>
      </c>
      <c r="B32" s="410" t="s">
        <v>24</v>
      </c>
      <c r="C32" s="413">
        <v>0</v>
      </c>
      <c r="D32" s="414">
        <v>0</v>
      </c>
      <c r="E32" s="415">
        <f t="shared" si="0"/>
        <v>0</v>
      </c>
      <c r="G32" s="11"/>
    </row>
    <row r="33" spans="1:7" x14ac:dyDescent="0.25">
      <c r="A33" s="409">
        <v>53000</v>
      </c>
      <c r="B33" s="410" t="s">
        <v>25</v>
      </c>
      <c r="C33" s="413">
        <v>0</v>
      </c>
      <c r="D33" s="414">
        <v>0</v>
      </c>
      <c r="E33" s="415">
        <f t="shared" si="0"/>
        <v>0</v>
      </c>
      <c r="G33" s="11"/>
    </row>
    <row r="34" spans="1:7" x14ac:dyDescent="0.25">
      <c r="A34" s="409">
        <v>54000</v>
      </c>
      <c r="B34" s="410" t="s">
        <v>272</v>
      </c>
      <c r="C34" s="413">
        <v>157</v>
      </c>
      <c r="D34" s="414">
        <v>2557.4</v>
      </c>
      <c r="E34" s="408">
        <f t="shared" si="0"/>
        <v>75000</v>
      </c>
      <c r="G34" s="11"/>
    </row>
    <row r="35" spans="1:7" x14ac:dyDescent="0.25">
      <c r="A35" s="409">
        <v>55000</v>
      </c>
      <c r="B35" s="410" t="s">
        <v>26</v>
      </c>
      <c r="C35" s="411">
        <v>668</v>
      </c>
      <c r="D35" s="412">
        <v>16975.7</v>
      </c>
      <c r="E35" s="408">
        <f t="shared" si="0"/>
        <v>496000</v>
      </c>
      <c r="G35" s="11"/>
    </row>
    <row r="36" spans="1:7" ht="15.75" thickBot="1" x14ac:dyDescent="0.3">
      <c r="A36" s="416">
        <v>56000</v>
      </c>
      <c r="B36" s="417" t="s">
        <v>27</v>
      </c>
      <c r="C36" s="418">
        <v>26</v>
      </c>
      <c r="D36" s="419">
        <v>361</v>
      </c>
      <c r="E36" s="415">
        <f t="shared" si="0"/>
        <v>11000</v>
      </c>
      <c r="G36" s="11"/>
    </row>
    <row r="37" spans="1:7" ht="15.75" thickBot="1" x14ac:dyDescent="0.3">
      <c r="A37" s="1088" t="s">
        <v>28</v>
      </c>
      <c r="B37" s="1089"/>
      <c r="C37" s="420">
        <f>SUM(C11:C36)</f>
        <v>49798</v>
      </c>
      <c r="D37" s="421">
        <f t="shared" ref="D37:E37" si="1">SUM(D11:D36)</f>
        <v>856381.5</v>
      </c>
      <c r="E37" s="422">
        <f t="shared" si="1"/>
        <v>25000000</v>
      </c>
    </row>
    <row r="39" spans="1:7" x14ac:dyDescent="0.25">
      <c r="A39" s="609" t="s">
        <v>252</v>
      </c>
    </row>
  </sheetData>
  <mergeCells count="7">
    <mergeCell ref="A1:E1"/>
    <mergeCell ref="A37:B37"/>
    <mergeCell ref="A3:E3"/>
    <mergeCell ref="A9:A10"/>
    <mergeCell ref="B9:B10"/>
    <mergeCell ref="C9:D9"/>
    <mergeCell ref="E9:E10"/>
  </mergeCells>
  <hyperlinks>
    <hyperlink ref="A39" location="'0 Seznam'!A1" display="Seznam" xr:uid="{3C57CCDB-FCED-462A-9703-48B3F5E75C4C}"/>
  </hyperlinks>
  <pageMargins left="0.70866141732283472" right="0.70866141732283472" top="0.78740157480314965" bottom="0.78740157480314965" header="0.31496062992125984" footer="0.31496062992125984"/>
  <pageSetup paperSize="9" scale="73" orientation="landscape" r:id="rId1"/>
  <headerFooter>
    <oddHeader xml:space="preserve">&amp;LČ. j.:999/2024-1
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1:J42"/>
  <sheetViews>
    <sheetView zoomScale="85" zoomScaleNormal="85" workbookViewId="0">
      <selection activeCell="A40" sqref="A40"/>
    </sheetView>
  </sheetViews>
  <sheetFormatPr defaultRowHeight="15" x14ac:dyDescent="0.25"/>
  <cols>
    <col min="1" max="1" width="10.85546875" customWidth="1"/>
    <col min="2" max="2" width="58.5703125" customWidth="1"/>
    <col min="3" max="5" width="15.7109375" customWidth="1"/>
    <col min="7" max="7" width="18.28515625" customWidth="1"/>
  </cols>
  <sheetData>
    <row r="1" spans="1:10" ht="27.75" customHeight="1" x14ac:dyDescent="0.25">
      <c r="A1" s="1085" t="s">
        <v>145</v>
      </c>
      <c r="B1" s="1085"/>
      <c r="C1" s="1085"/>
      <c r="D1" s="1085"/>
      <c r="E1" s="1085"/>
    </row>
    <row r="2" spans="1:10" ht="15.75" x14ac:dyDescent="0.25">
      <c r="A2" s="391"/>
      <c r="B2" s="391"/>
      <c r="C2" s="391"/>
      <c r="D2" s="391"/>
      <c r="E2" s="391"/>
    </row>
    <row r="3" spans="1:10" ht="48" customHeight="1" x14ac:dyDescent="0.25">
      <c r="A3" s="1090" t="s">
        <v>293</v>
      </c>
      <c r="B3" s="1090"/>
      <c r="C3" s="1090"/>
      <c r="D3" s="1090"/>
      <c r="E3" s="1090"/>
    </row>
    <row r="4" spans="1:10" x14ac:dyDescent="0.25">
      <c r="A4" s="423"/>
      <c r="B4" s="423"/>
      <c r="C4" s="423"/>
      <c r="D4" s="423"/>
      <c r="E4" s="423"/>
    </row>
    <row r="5" spans="1:10" x14ac:dyDescent="0.25">
      <c r="A5" s="424" t="s">
        <v>146</v>
      </c>
      <c r="B5" s="425"/>
      <c r="C5" s="425"/>
      <c r="D5" s="426"/>
      <c r="E5" s="427">
        <f>'1 Bilance'!O43</f>
        <v>108300000</v>
      </c>
    </row>
    <row r="6" spans="1:10" x14ac:dyDescent="0.25">
      <c r="A6" s="424" t="s">
        <v>147</v>
      </c>
      <c r="B6" s="425"/>
      <c r="C6" s="425"/>
      <c r="D6" s="426"/>
      <c r="E6" s="428">
        <f>E5/D37</f>
        <v>0.67168143321808904</v>
      </c>
      <c r="G6" s="459"/>
    </row>
    <row r="7" spans="1:10" ht="27.75" x14ac:dyDescent="0.25">
      <c r="A7" s="429"/>
      <c r="B7" s="430"/>
      <c r="C7" s="429"/>
      <c r="D7" s="431"/>
      <c r="E7" s="429"/>
    </row>
    <row r="8" spans="1:10" ht="15.75" thickBot="1" x14ac:dyDescent="0.3">
      <c r="A8" s="432"/>
      <c r="B8" s="429"/>
      <c r="C8" s="429"/>
      <c r="D8" s="429"/>
      <c r="E8" s="433"/>
    </row>
    <row r="9" spans="1:10" ht="15" customHeight="1" x14ac:dyDescent="0.25">
      <c r="A9" s="1099" t="s">
        <v>2</v>
      </c>
      <c r="B9" s="1101" t="s">
        <v>3</v>
      </c>
      <c r="C9" s="1103" t="s">
        <v>255</v>
      </c>
      <c r="D9" s="1104"/>
      <c r="E9" s="1105" t="s">
        <v>284</v>
      </c>
    </row>
    <row r="10" spans="1:10" ht="45.75" thickBot="1" x14ac:dyDescent="0.3">
      <c r="A10" s="1100"/>
      <c r="B10" s="1102"/>
      <c r="C10" s="573" t="s">
        <v>250</v>
      </c>
      <c r="D10" s="574" t="s">
        <v>148</v>
      </c>
      <c r="E10" s="1106"/>
    </row>
    <row r="11" spans="1:10" x14ac:dyDescent="0.25">
      <c r="A11" s="575">
        <v>11000</v>
      </c>
      <c r="B11" s="576" t="s">
        <v>4</v>
      </c>
      <c r="C11" s="582">
        <v>1263</v>
      </c>
      <c r="D11" s="643">
        <v>36289100</v>
      </c>
      <c r="E11" s="596">
        <f>ROUND(D11/$D$37*$E$5,-3)</f>
        <v>24375000</v>
      </c>
      <c r="G11" s="651"/>
      <c r="I11" s="607"/>
      <c r="J11" s="11"/>
    </row>
    <row r="12" spans="1:10" x14ac:dyDescent="0.25">
      <c r="A12" s="577">
        <v>12000</v>
      </c>
      <c r="B12" s="578" t="s">
        <v>5</v>
      </c>
      <c r="C12" s="583">
        <v>148</v>
      </c>
      <c r="D12" s="644">
        <v>4868900</v>
      </c>
      <c r="E12" s="596">
        <f>ROUND(D12/$D$37*$E$5,-3)</f>
        <v>3270000</v>
      </c>
      <c r="G12" s="651"/>
      <c r="I12" s="607"/>
    </row>
    <row r="13" spans="1:10" x14ac:dyDescent="0.25">
      <c r="A13" s="577">
        <v>13000</v>
      </c>
      <c r="B13" s="578" t="s">
        <v>6</v>
      </c>
      <c r="C13" s="584">
        <v>159</v>
      </c>
      <c r="D13" s="644">
        <v>4745000</v>
      </c>
      <c r="E13" s="596">
        <f t="shared" ref="E13:E36" si="0">ROUND(D13/$D$37*$E$5,-3)</f>
        <v>3187000</v>
      </c>
      <c r="G13" s="651"/>
      <c r="I13" s="607"/>
    </row>
    <row r="14" spans="1:10" x14ac:dyDescent="0.25">
      <c r="A14" s="577">
        <v>14000</v>
      </c>
      <c r="B14" s="578" t="s">
        <v>7</v>
      </c>
      <c r="C14" s="592">
        <v>700</v>
      </c>
      <c r="D14" s="644">
        <v>21451650</v>
      </c>
      <c r="E14" s="596">
        <f t="shared" si="0"/>
        <v>14409000</v>
      </c>
      <c r="G14" s="651"/>
      <c r="I14" s="607"/>
    </row>
    <row r="15" spans="1:10" x14ac:dyDescent="0.25">
      <c r="A15" s="577">
        <v>15000</v>
      </c>
      <c r="B15" s="578" t="s">
        <v>8</v>
      </c>
      <c r="C15" s="585">
        <v>470</v>
      </c>
      <c r="D15" s="644">
        <v>14811000</v>
      </c>
      <c r="E15" s="596">
        <f t="shared" si="0"/>
        <v>9948000</v>
      </c>
      <c r="G15" s="651"/>
      <c r="I15" s="607"/>
    </row>
    <row r="16" spans="1:10" x14ac:dyDescent="0.25">
      <c r="A16" s="577">
        <v>16000</v>
      </c>
      <c r="B16" s="578" t="s">
        <v>267</v>
      </c>
      <c r="C16" s="585">
        <v>0</v>
      </c>
      <c r="D16" s="645">
        <v>0</v>
      </c>
      <c r="E16" s="596">
        <f t="shared" si="0"/>
        <v>0</v>
      </c>
      <c r="G16" s="651"/>
      <c r="I16" s="607"/>
    </row>
    <row r="17" spans="1:9" x14ac:dyDescent="0.25">
      <c r="A17" s="577">
        <v>17000</v>
      </c>
      <c r="B17" s="578" t="s">
        <v>9</v>
      </c>
      <c r="C17" s="586">
        <v>225</v>
      </c>
      <c r="D17" s="644">
        <v>6940400</v>
      </c>
      <c r="E17" s="596">
        <f t="shared" si="0"/>
        <v>4662000</v>
      </c>
      <c r="G17" s="651"/>
      <c r="I17" s="607"/>
    </row>
    <row r="18" spans="1:9" x14ac:dyDescent="0.25">
      <c r="A18" s="577">
        <v>18000</v>
      </c>
      <c r="B18" s="578" t="s">
        <v>10</v>
      </c>
      <c r="C18" s="586">
        <v>130</v>
      </c>
      <c r="D18" s="644">
        <v>4663900</v>
      </c>
      <c r="E18" s="596">
        <f t="shared" si="0"/>
        <v>3133000</v>
      </c>
      <c r="G18" s="651"/>
      <c r="I18" s="607"/>
    </row>
    <row r="19" spans="1:9" x14ac:dyDescent="0.25">
      <c r="A19" s="577">
        <v>19000</v>
      </c>
      <c r="B19" s="578" t="s">
        <v>11</v>
      </c>
      <c r="C19" s="587">
        <v>94</v>
      </c>
      <c r="D19" s="644">
        <v>3595400</v>
      </c>
      <c r="E19" s="596">
        <f t="shared" si="0"/>
        <v>2415000</v>
      </c>
      <c r="G19" s="651"/>
      <c r="I19" s="607"/>
    </row>
    <row r="20" spans="1:9" x14ac:dyDescent="0.25">
      <c r="A20" s="577">
        <v>21000</v>
      </c>
      <c r="B20" s="578" t="s">
        <v>12</v>
      </c>
      <c r="C20" s="584">
        <v>267</v>
      </c>
      <c r="D20" s="644">
        <v>6383000</v>
      </c>
      <c r="E20" s="596">
        <f>ROUND(D20/$D$37*$E$5,-3)</f>
        <v>4287000</v>
      </c>
      <c r="G20" s="651"/>
      <c r="I20" s="607"/>
    </row>
    <row r="21" spans="1:9" x14ac:dyDescent="0.25">
      <c r="A21" s="577">
        <v>22000</v>
      </c>
      <c r="B21" s="578" t="s">
        <v>13</v>
      </c>
      <c r="C21" s="584">
        <v>116</v>
      </c>
      <c r="D21" s="644">
        <v>2443000</v>
      </c>
      <c r="E21" s="596">
        <f t="shared" si="0"/>
        <v>1641000</v>
      </c>
      <c r="G21" s="651"/>
      <c r="I21" s="607"/>
    </row>
    <row r="22" spans="1:9" x14ac:dyDescent="0.25">
      <c r="A22" s="577">
        <v>23000</v>
      </c>
      <c r="B22" s="578" t="s">
        <v>14</v>
      </c>
      <c r="C22" s="587">
        <v>226</v>
      </c>
      <c r="D22" s="644">
        <v>5299500</v>
      </c>
      <c r="E22" s="596">
        <f>ROUND(D22/$D$37*$E$5-100,-3)</f>
        <v>3559000</v>
      </c>
      <c r="G22" s="651"/>
      <c r="I22" s="607"/>
    </row>
    <row r="23" spans="1:9" x14ac:dyDescent="0.25">
      <c r="A23" s="577">
        <v>24000</v>
      </c>
      <c r="B23" s="578" t="s">
        <v>15</v>
      </c>
      <c r="C23" s="586">
        <v>89</v>
      </c>
      <c r="D23" s="644">
        <v>3308400</v>
      </c>
      <c r="E23" s="596">
        <f>ROUND(D23/$D$37*$E$5,-3)</f>
        <v>2222000</v>
      </c>
      <c r="G23" s="651"/>
      <c r="I23" s="607"/>
    </row>
    <row r="24" spans="1:9" x14ac:dyDescent="0.25">
      <c r="A24" s="577">
        <v>25000</v>
      </c>
      <c r="B24" s="578" t="s">
        <v>16</v>
      </c>
      <c r="C24" s="588">
        <v>161</v>
      </c>
      <c r="D24" s="644">
        <v>5648300</v>
      </c>
      <c r="E24" s="596">
        <f t="shared" si="0"/>
        <v>3794000</v>
      </c>
      <c r="G24" s="651"/>
      <c r="I24" s="607"/>
    </row>
    <row r="25" spans="1:9" x14ac:dyDescent="0.25">
      <c r="A25" s="577">
        <v>26000</v>
      </c>
      <c r="B25" s="578" t="s">
        <v>17</v>
      </c>
      <c r="C25" s="584">
        <v>399</v>
      </c>
      <c r="D25" s="644">
        <v>8572600</v>
      </c>
      <c r="E25" s="596">
        <f t="shared" si="0"/>
        <v>5758000</v>
      </c>
      <c r="G25" s="651"/>
      <c r="I25" s="607"/>
    </row>
    <row r="26" spans="1:9" x14ac:dyDescent="0.25">
      <c r="A26" s="577">
        <v>27000</v>
      </c>
      <c r="B26" s="578" t="s">
        <v>18</v>
      </c>
      <c r="C26" s="589">
        <v>153</v>
      </c>
      <c r="D26" s="646">
        <v>3950100</v>
      </c>
      <c r="E26" s="596">
        <f t="shared" si="0"/>
        <v>2653000</v>
      </c>
      <c r="G26" s="651"/>
      <c r="I26" s="607"/>
    </row>
    <row r="27" spans="1:9" x14ac:dyDescent="0.25">
      <c r="A27" s="577">
        <v>28000</v>
      </c>
      <c r="B27" s="578" t="s">
        <v>19</v>
      </c>
      <c r="C27" s="590">
        <v>204</v>
      </c>
      <c r="D27" s="644">
        <v>5560300</v>
      </c>
      <c r="E27" s="596">
        <f t="shared" si="0"/>
        <v>3735000</v>
      </c>
      <c r="G27" s="651"/>
      <c r="I27" s="607"/>
    </row>
    <row r="28" spans="1:9" x14ac:dyDescent="0.25">
      <c r="A28" s="577">
        <v>31000</v>
      </c>
      <c r="B28" s="578" t="s">
        <v>20</v>
      </c>
      <c r="C28" s="590">
        <v>177</v>
      </c>
      <c r="D28" s="647">
        <v>4205000</v>
      </c>
      <c r="E28" s="596">
        <f t="shared" si="0"/>
        <v>2824000</v>
      </c>
      <c r="G28" s="651"/>
      <c r="I28" s="607"/>
    </row>
    <row r="29" spans="1:9" x14ac:dyDescent="0.25">
      <c r="A29" s="577">
        <v>41000</v>
      </c>
      <c r="B29" s="578" t="s">
        <v>21</v>
      </c>
      <c r="C29" s="589">
        <v>437</v>
      </c>
      <c r="D29" s="644">
        <v>13649000</v>
      </c>
      <c r="E29" s="596">
        <f t="shared" si="0"/>
        <v>9168000</v>
      </c>
      <c r="G29" s="651"/>
      <c r="I29" s="607"/>
    </row>
    <row r="30" spans="1:9" x14ac:dyDescent="0.25">
      <c r="A30" s="577">
        <v>43000</v>
      </c>
      <c r="B30" s="578" t="s">
        <v>22</v>
      </c>
      <c r="C30" s="589">
        <v>133</v>
      </c>
      <c r="D30" s="644">
        <v>3223000</v>
      </c>
      <c r="E30" s="596">
        <f t="shared" si="0"/>
        <v>2165000</v>
      </c>
      <c r="G30" s="651"/>
      <c r="I30" s="607"/>
    </row>
    <row r="31" spans="1:9" x14ac:dyDescent="0.25">
      <c r="A31" s="577">
        <v>51000</v>
      </c>
      <c r="B31" s="578" t="s">
        <v>23</v>
      </c>
      <c r="C31" s="593">
        <v>4</v>
      </c>
      <c r="D31" s="648">
        <v>350500</v>
      </c>
      <c r="E31" s="596">
        <f t="shared" si="0"/>
        <v>235000</v>
      </c>
      <c r="G31" s="651"/>
      <c r="I31" s="607"/>
    </row>
    <row r="32" spans="1:9" x14ac:dyDescent="0.25">
      <c r="A32" s="577">
        <v>52000</v>
      </c>
      <c r="B32" s="578" t="s">
        <v>24</v>
      </c>
      <c r="C32" s="593">
        <v>0</v>
      </c>
      <c r="D32" s="649">
        <v>0</v>
      </c>
      <c r="E32" s="596">
        <f t="shared" si="0"/>
        <v>0</v>
      </c>
      <c r="G32" s="651"/>
      <c r="I32" s="607"/>
    </row>
    <row r="33" spans="1:9" x14ac:dyDescent="0.25">
      <c r="A33" s="577">
        <v>53000</v>
      </c>
      <c r="B33" s="578" t="s">
        <v>25</v>
      </c>
      <c r="C33" s="594">
        <v>0</v>
      </c>
      <c r="D33" s="649">
        <v>0</v>
      </c>
      <c r="E33" s="596">
        <f t="shared" si="0"/>
        <v>0</v>
      </c>
      <c r="G33" s="651"/>
      <c r="I33" s="607"/>
    </row>
    <row r="34" spans="1:9" x14ac:dyDescent="0.25">
      <c r="A34" s="577">
        <v>54000</v>
      </c>
      <c r="B34" s="578" t="s">
        <v>272</v>
      </c>
      <c r="C34" s="589">
        <v>1</v>
      </c>
      <c r="D34" s="646">
        <v>95000</v>
      </c>
      <c r="E34" s="596">
        <f t="shared" si="0"/>
        <v>64000</v>
      </c>
      <c r="G34" s="651"/>
      <c r="I34" s="607"/>
    </row>
    <row r="35" spans="1:9" x14ac:dyDescent="0.25">
      <c r="A35" s="577">
        <v>55000</v>
      </c>
      <c r="B35" s="578" t="s">
        <v>26</v>
      </c>
      <c r="C35" s="589">
        <v>26</v>
      </c>
      <c r="D35" s="644">
        <v>620100</v>
      </c>
      <c r="E35" s="596">
        <f t="shared" si="0"/>
        <v>417000</v>
      </c>
      <c r="G35" s="651"/>
      <c r="I35" s="607"/>
    </row>
    <row r="36" spans="1:9" ht="15.75" thickBot="1" x14ac:dyDescent="0.3">
      <c r="A36" s="579">
        <v>56000</v>
      </c>
      <c r="B36" s="434" t="s">
        <v>27</v>
      </c>
      <c r="C36" s="591">
        <v>30</v>
      </c>
      <c r="D36" s="644">
        <v>564000</v>
      </c>
      <c r="E36" s="596">
        <f t="shared" si="0"/>
        <v>379000</v>
      </c>
      <c r="G36" s="651"/>
      <c r="I36" s="607"/>
    </row>
    <row r="37" spans="1:9" ht="15.75" thickBot="1" x14ac:dyDescent="0.3">
      <c r="A37" s="534"/>
      <c r="B37" s="580" t="s">
        <v>28</v>
      </c>
      <c r="C37" s="581">
        <f>SUM(C11:C36)</f>
        <v>5612</v>
      </c>
      <c r="D37" s="595">
        <f t="shared" ref="D37:E37" si="1">SUM(D11:D36)</f>
        <v>161237150</v>
      </c>
      <c r="E37" s="597">
        <f t="shared" si="1"/>
        <v>108300000</v>
      </c>
    </row>
    <row r="39" spans="1:9" x14ac:dyDescent="0.25">
      <c r="B39" s="598" t="s">
        <v>292</v>
      </c>
      <c r="C39" s="599">
        <v>0.67140003692700201</v>
      </c>
    </row>
    <row r="40" spans="1:9" x14ac:dyDescent="0.25">
      <c r="A40" s="609" t="s">
        <v>252</v>
      </c>
      <c r="B40" s="435"/>
      <c r="C40" s="435"/>
      <c r="D40" s="435"/>
      <c r="E40" s="435"/>
    </row>
    <row r="41" spans="1:9" x14ac:dyDescent="0.25">
      <c r="A41" s="435"/>
      <c r="B41" s="435"/>
      <c r="C41" s="436"/>
      <c r="D41" s="435"/>
      <c r="E41" s="435"/>
    </row>
    <row r="42" spans="1:9" x14ac:dyDescent="0.25">
      <c r="A42" s="38"/>
    </row>
  </sheetData>
  <mergeCells count="6">
    <mergeCell ref="A1:E1"/>
    <mergeCell ref="A3:E3"/>
    <mergeCell ref="A9:A10"/>
    <mergeCell ref="B9:B10"/>
    <mergeCell ref="C9:D9"/>
    <mergeCell ref="E9:E10"/>
  </mergeCells>
  <hyperlinks>
    <hyperlink ref="A40" location="'0 Seznam'!A1" display="Seznam" xr:uid="{0DA9AECE-2B88-42F9-9A20-08E8036B6FD5}"/>
  </hyperlinks>
  <pageMargins left="0.70866141732283472" right="0.70866141732283472" top="0.78740157480314965" bottom="0.78740157480314965" header="0.31496062992125984" footer="0.31496062992125984"/>
  <pageSetup paperSize="9" scale="73" orientation="landscape" r:id="rId1"/>
  <headerFooter>
    <oddHeader xml:space="preserve">&amp;LČ. j.:999/2024-1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T71"/>
  <sheetViews>
    <sheetView showGridLines="0" zoomScale="70" zoomScaleNormal="70" workbookViewId="0">
      <selection activeCell="O58" sqref="O58"/>
    </sheetView>
  </sheetViews>
  <sheetFormatPr defaultRowHeight="15" x14ac:dyDescent="0.25"/>
  <cols>
    <col min="1" max="1" width="5.7109375" customWidth="1"/>
    <col min="2" max="2" width="4.85546875" bestFit="1" customWidth="1"/>
    <col min="3" max="3" width="7.28515625" customWidth="1"/>
    <col min="4" max="4" width="17.140625" customWidth="1"/>
    <col min="5" max="9" width="23.28515625" customWidth="1"/>
    <col min="10" max="10" width="21" customWidth="1"/>
    <col min="11" max="11" width="18.7109375" customWidth="1"/>
    <col min="12" max="12" width="22.7109375" customWidth="1"/>
    <col min="13" max="14" width="19.42578125" customWidth="1"/>
    <col min="15" max="15" width="22.28515625" customWidth="1"/>
    <col min="16" max="17" width="19.42578125" customWidth="1"/>
    <col min="18" max="18" width="14" bestFit="1" customWidth="1"/>
    <col min="19" max="19" width="18.140625" customWidth="1"/>
    <col min="20" max="20" width="12" bestFit="1" customWidth="1"/>
  </cols>
  <sheetData>
    <row r="1" spans="1:20" ht="27.75" customHeight="1" x14ac:dyDescent="0.25">
      <c r="A1" s="942" t="s">
        <v>287</v>
      </c>
      <c r="B1" s="942"/>
      <c r="C1" s="942"/>
      <c r="D1" s="942"/>
      <c r="E1" s="942"/>
      <c r="F1" s="942"/>
      <c r="G1" s="942"/>
      <c r="H1" s="942"/>
      <c r="I1" s="942"/>
      <c r="J1" s="942"/>
      <c r="K1" s="942"/>
      <c r="L1" s="942"/>
      <c r="M1" s="942"/>
      <c r="N1" s="942"/>
      <c r="O1" s="942"/>
      <c r="P1" s="942"/>
      <c r="Q1" s="942"/>
    </row>
    <row r="2" spans="1:20" x14ac:dyDescent="0.25">
      <c r="A2" s="40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2"/>
      <c r="P2" s="42"/>
      <c r="Q2" s="42"/>
    </row>
    <row r="3" spans="1:20" ht="15.75" thickBot="1" x14ac:dyDescent="0.3">
      <c r="A3" s="42"/>
      <c r="B3" s="42"/>
      <c r="C3" s="41"/>
      <c r="D3" s="41"/>
      <c r="E3" s="41"/>
      <c r="F3" s="41"/>
      <c r="G3" s="41"/>
      <c r="H3" s="41"/>
      <c r="I3" s="41"/>
      <c r="J3" s="42"/>
      <c r="K3" s="42"/>
      <c r="L3" s="43"/>
      <c r="M3" s="42"/>
      <c r="N3" s="44"/>
      <c r="O3" s="42"/>
      <c r="P3" s="45" t="s">
        <v>0</v>
      </c>
      <c r="Q3" s="46"/>
    </row>
    <row r="4" spans="1:20" ht="16.5" thickBot="1" x14ac:dyDescent="0.3">
      <c r="A4" s="946" t="s">
        <v>48</v>
      </c>
      <c r="B4" s="947"/>
      <c r="C4" s="947"/>
      <c r="D4" s="947"/>
      <c r="E4" s="47">
        <v>2021</v>
      </c>
      <c r="F4" s="48">
        <v>2022</v>
      </c>
      <c r="G4" s="49">
        <v>2023</v>
      </c>
      <c r="H4" s="516">
        <v>2024</v>
      </c>
      <c r="I4" s="513"/>
      <c r="J4" s="948" t="s">
        <v>48</v>
      </c>
      <c r="K4" s="949"/>
      <c r="L4" s="47">
        <v>2021</v>
      </c>
      <c r="M4" s="48">
        <v>2022</v>
      </c>
      <c r="N4" s="49">
        <v>2023</v>
      </c>
      <c r="O4" s="50">
        <v>2024</v>
      </c>
      <c r="P4" s="51" t="s">
        <v>49</v>
      </c>
      <c r="Q4" s="46"/>
    </row>
    <row r="5" spans="1:20" x14ac:dyDescent="0.25">
      <c r="A5" s="950" t="s">
        <v>50</v>
      </c>
      <c r="B5" s="951"/>
      <c r="C5" s="951"/>
      <c r="D5" s="952"/>
      <c r="E5" s="52">
        <v>47309.413342952932</v>
      </c>
      <c r="F5" s="53">
        <v>48342.069411484525</v>
      </c>
      <c r="G5" s="54">
        <v>49424.151805746857</v>
      </c>
      <c r="H5" s="517">
        <v>51072.62866921255</v>
      </c>
      <c r="I5" s="514"/>
      <c r="J5" s="953" t="s">
        <v>52</v>
      </c>
      <c r="K5" s="954"/>
      <c r="L5" s="55">
        <v>135000</v>
      </c>
      <c r="M5" s="55">
        <v>135000</v>
      </c>
      <c r="N5" s="55">
        <v>135000</v>
      </c>
      <c r="O5" s="56" t="s">
        <v>51</v>
      </c>
      <c r="P5" s="57"/>
      <c r="Q5" s="46"/>
    </row>
    <row r="6" spans="1:20" x14ac:dyDescent="0.25">
      <c r="A6" s="943" t="s">
        <v>53</v>
      </c>
      <c r="B6" s="944"/>
      <c r="C6" s="944"/>
      <c r="D6" s="945"/>
      <c r="E6" s="58" t="s">
        <v>51</v>
      </c>
      <c r="F6" s="58" t="s">
        <v>51</v>
      </c>
      <c r="G6" s="59" t="s">
        <v>51</v>
      </c>
      <c r="H6" s="518" t="s">
        <v>51</v>
      </c>
      <c r="I6" s="514"/>
      <c r="J6" s="920" t="s">
        <v>54</v>
      </c>
      <c r="K6" s="921"/>
      <c r="L6" s="55">
        <v>5400</v>
      </c>
      <c r="M6" s="55">
        <v>5400</v>
      </c>
      <c r="N6" s="55">
        <v>5400</v>
      </c>
      <c r="O6" s="61">
        <v>5400</v>
      </c>
      <c r="P6" s="60">
        <f>O6/N6-1</f>
        <v>0</v>
      </c>
      <c r="Q6" s="46"/>
    </row>
    <row r="7" spans="1:20" ht="15.75" thickBot="1" x14ac:dyDescent="0.3">
      <c r="A7" s="918" t="s">
        <v>55</v>
      </c>
      <c r="B7" s="919"/>
      <c r="C7" s="919"/>
      <c r="D7" s="919"/>
      <c r="E7" s="62" t="s">
        <v>51</v>
      </c>
      <c r="F7" s="63" t="s">
        <v>51</v>
      </c>
      <c r="G7" s="64" t="s">
        <v>51</v>
      </c>
      <c r="H7" s="519" t="s">
        <v>51</v>
      </c>
      <c r="I7" s="515"/>
      <c r="J7" s="920" t="s">
        <v>149</v>
      </c>
      <c r="K7" s="921"/>
      <c r="L7" s="55">
        <v>3800</v>
      </c>
      <c r="M7" s="55">
        <v>4050</v>
      </c>
      <c r="N7" s="55">
        <v>4325</v>
      </c>
      <c r="O7" s="61">
        <v>4725</v>
      </c>
      <c r="P7" s="60">
        <f>O7/N7-1</f>
        <v>9.2485549132947931E-2</v>
      </c>
      <c r="Q7" s="65"/>
    </row>
    <row r="8" spans="1:20" ht="15.75" thickBot="1" x14ac:dyDescent="0.3">
      <c r="A8" s="922"/>
      <c r="B8" s="922"/>
      <c r="C8" s="922"/>
      <c r="D8" s="922"/>
      <c r="E8" s="922"/>
      <c r="F8" s="922"/>
      <c r="G8" s="922"/>
      <c r="H8" s="922"/>
      <c r="I8" s="460"/>
      <c r="J8" s="923" t="s">
        <v>56</v>
      </c>
      <c r="K8" s="924"/>
      <c r="L8" s="66">
        <v>17.95</v>
      </c>
      <c r="M8" s="66">
        <v>17.95</v>
      </c>
      <c r="N8" s="66">
        <v>17.95</v>
      </c>
      <c r="O8" s="67">
        <v>17.95</v>
      </c>
      <c r="P8" s="68">
        <f>O8/N8-1</f>
        <v>0</v>
      </c>
    </row>
    <row r="9" spans="1:20" ht="15.75" thickBot="1" x14ac:dyDescent="0.3">
      <c r="A9" s="925"/>
      <c r="B9" s="925"/>
      <c r="C9" s="925"/>
      <c r="D9" s="925"/>
      <c r="E9" s="925"/>
      <c r="F9" s="925"/>
      <c r="G9" s="925"/>
      <c r="H9" s="925"/>
      <c r="I9" s="925"/>
      <c r="J9" s="69"/>
      <c r="K9" s="69"/>
      <c r="L9" s="69"/>
      <c r="M9" s="69"/>
      <c r="N9" s="69"/>
      <c r="O9" s="42"/>
      <c r="P9" s="42"/>
      <c r="Q9" s="45" t="s">
        <v>0</v>
      </c>
    </row>
    <row r="10" spans="1:20" x14ac:dyDescent="0.25">
      <c r="A10" s="926" t="s">
        <v>150</v>
      </c>
      <c r="B10" s="928" t="s">
        <v>151</v>
      </c>
      <c r="C10" s="930" t="s">
        <v>57</v>
      </c>
      <c r="D10" s="931"/>
      <c r="E10" s="931"/>
      <c r="F10" s="931"/>
      <c r="G10" s="932"/>
      <c r="H10" s="939" t="s">
        <v>192</v>
      </c>
      <c r="I10" s="939" t="s">
        <v>266</v>
      </c>
      <c r="J10" s="906" t="s">
        <v>58</v>
      </c>
      <c r="K10" s="909" t="s">
        <v>59</v>
      </c>
      <c r="L10" s="912" t="s">
        <v>273</v>
      </c>
      <c r="M10" s="915" t="s">
        <v>60</v>
      </c>
      <c r="N10" s="900" t="s">
        <v>61</v>
      </c>
      <c r="O10" s="903" t="s">
        <v>288</v>
      </c>
      <c r="P10" s="888" t="s">
        <v>62</v>
      </c>
      <c r="Q10" s="891" t="s">
        <v>63</v>
      </c>
    </row>
    <row r="11" spans="1:20" x14ac:dyDescent="0.25">
      <c r="A11" s="927"/>
      <c r="B11" s="929"/>
      <c r="C11" s="933"/>
      <c r="D11" s="934"/>
      <c r="E11" s="934"/>
      <c r="F11" s="934"/>
      <c r="G11" s="935"/>
      <c r="H11" s="940"/>
      <c r="I11" s="940"/>
      <c r="J11" s="907"/>
      <c r="K11" s="910"/>
      <c r="L11" s="913"/>
      <c r="M11" s="916"/>
      <c r="N11" s="901"/>
      <c r="O11" s="904"/>
      <c r="P11" s="889"/>
      <c r="Q11" s="892"/>
    </row>
    <row r="12" spans="1:20" ht="15.75" thickBot="1" x14ac:dyDescent="0.3">
      <c r="A12" s="927"/>
      <c r="B12" s="929"/>
      <c r="C12" s="936"/>
      <c r="D12" s="937"/>
      <c r="E12" s="937"/>
      <c r="F12" s="937"/>
      <c r="G12" s="938"/>
      <c r="H12" s="941"/>
      <c r="I12" s="941"/>
      <c r="J12" s="908"/>
      <c r="K12" s="911"/>
      <c r="L12" s="914"/>
      <c r="M12" s="917"/>
      <c r="N12" s="902"/>
      <c r="O12" s="905"/>
      <c r="P12" s="890"/>
      <c r="Q12" s="893"/>
    </row>
    <row r="13" spans="1:20" ht="15.75" thickBot="1" x14ac:dyDescent="0.3">
      <c r="A13" s="70"/>
      <c r="B13" s="71"/>
      <c r="C13" s="894">
        <v>1</v>
      </c>
      <c r="D13" s="895"/>
      <c r="E13" s="895"/>
      <c r="F13" s="895"/>
      <c r="G13" s="895"/>
      <c r="H13" s="72">
        <v>2</v>
      </c>
      <c r="I13" s="72">
        <v>3</v>
      </c>
      <c r="J13" s="73">
        <v>4</v>
      </c>
      <c r="K13" s="74">
        <v>5</v>
      </c>
      <c r="L13" s="75">
        <v>6</v>
      </c>
      <c r="M13" s="73">
        <v>7</v>
      </c>
      <c r="N13" s="76">
        <v>8</v>
      </c>
      <c r="O13" s="77">
        <v>9</v>
      </c>
      <c r="P13" s="73">
        <v>10</v>
      </c>
      <c r="Q13" s="76">
        <v>11</v>
      </c>
    </row>
    <row r="14" spans="1:20" x14ac:dyDescent="0.25">
      <c r="A14" s="78"/>
      <c r="B14" s="79"/>
      <c r="C14" s="80"/>
      <c r="D14" s="42"/>
      <c r="E14" s="42"/>
      <c r="F14" s="42"/>
      <c r="G14" s="42"/>
      <c r="H14" s="81"/>
      <c r="I14" s="81"/>
      <c r="J14" s="82"/>
      <c r="K14" s="83"/>
      <c r="L14" s="84"/>
      <c r="M14" s="82"/>
      <c r="N14" s="85"/>
      <c r="O14" s="86"/>
      <c r="P14" s="82"/>
      <c r="Q14" s="85"/>
    </row>
    <row r="15" spans="1:20" ht="15.75" thickBot="1" x14ac:dyDescent="0.3">
      <c r="A15" s="78"/>
      <c r="B15" s="79"/>
      <c r="C15" s="87" t="s">
        <v>64</v>
      </c>
      <c r="D15" s="42"/>
      <c r="E15" s="42"/>
      <c r="F15" s="42"/>
      <c r="G15" s="42"/>
      <c r="H15" s="81"/>
      <c r="I15" s="81"/>
      <c r="J15" s="82"/>
      <c r="K15" s="83"/>
      <c r="L15" s="88"/>
      <c r="M15" s="82"/>
      <c r="N15" s="85"/>
      <c r="O15" s="89"/>
      <c r="P15" s="82"/>
      <c r="Q15" s="85"/>
    </row>
    <row r="16" spans="1:20" x14ac:dyDescent="0.25">
      <c r="A16" s="90" t="s">
        <v>65</v>
      </c>
      <c r="B16" s="91"/>
      <c r="C16" s="896" t="s">
        <v>41</v>
      </c>
      <c r="D16" s="897"/>
      <c r="E16" s="897"/>
      <c r="F16" s="897"/>
      <c r="G16" s="897"/>
      <c r="H16" s="92">
        <v>17395401074</v>
      </c>
      <c r="I16" s="92">
        <v>17965561474</v>
      </c>
      <c r="J16" s="93">
        <f>I16/$I$54</f>
        <v>0.89181866535268728</v>
      </c>
      <c r="K16" s="94">
        <f>I16/H16-1</f>
        <v>3.2776502109640226E-2</v>
      </c>
      <c r="L16" s="95">
        <v>17965561474</v>
      </c>
      <c r="M16" s="93">
        <f>L16/$L$54</f>
        <v>0.62744661075991914</v>
      </c>
      <c r="N16" s="96">
        <f>L16/I16-1</f>
        <v>0</v>
      </c>
      <c r="O16" s="97">
        <v>18430561474</v>
      </c>
      <c r="P16" s="93">
        <f>O16/$O$55</f>
        <v>0.64396123785892145</v>
      </c>
      <c r="Q16" s="96">
        <f>O16/L16-1</f>
        <v>2.5882853740639034E-2</v>
      </c>
      <c r="R16" s="11"/>
      <c r="S16" s="459"/>
      <c r="T16" s="459"/>
    </row>
    <row r="17" spans="1:20" x14ac:dyDescent="0.25">
      <c r="A17" s="98" t="s">
        <v>65</v>
      </c>
      <c r="B17" s="99"/>
      <c r="C17" s="898" t="s">
        <v>42</v>
      </c>
      <c r="D17" s="899"/>
      <c r="E17" s="899"/>
      <c r="F17" s="899"/>
      <c r="G17" s="899"/>
      <c r="H17" s="100">
        <v>3476658158</v>
      </c>
      <c r="I17" s="100">
        <v>3821738358</v>
      </c>
      <c r="J17" s="101">
        <f>I17/$I$54</f>
        <v>0.18971283512019729</v>
      </c>
      <c r="K17" s="102">
        <f>I17/H17-1</f>
        <v>9.9256292772399668E-2</v>
      </c>
      <c r="L17" s="103">
        <v>4321738358</v>
      </c>
      <c r="M17" s="101">
        <f>L17/$L$54</f>
        <v>0.15093656211316239</v>
      </c>
      <c r="N17" s="104">
        <f>L17/I17-1</f>
        <v>0.13083051563520987</v>
      </c>
      <c r="O17" s="105">
        <v>4786738358</v>
      </c>
      <c r="P17" s="101">
        <f>O17/$O$55</f>
        <v>0.16724796814643483</v>
      </c>
      <c r="Q17" s="104">
        <f>O17/L17-1</f>
        <v>0.10759559267146179</v>
      </c>
      <c r="R17" s="11"/>
      <c r="S17" s="459"/>
      <c r="T17" s="459"/>
    </row>
    <row r="18" spans="1:20" ht="15.75" thickBot="1" x14ac:dyDescent="0.3">
      <c r="A18" s="106" t="s">
        <v>65</v>
      </c>
      <c r="B18" s="107"/>
      <c r="C18" s="461" t="s">
        <v>1</v>
      </c>
      <c r="D18" s="462"/>
      <c r="E18" s="462"/>
      <c r="F18" s="462"/>
      <c r="G18" s="462"/>
      <c r="H18" s="108">
        <v>736800000</v>
      </c>
      <c r="I18" s="108">
        <v>836800000</v>
      </c>
      <c r="J18" s="109"/>
      <c r="K18" s="110"/>
      <c r="L18" s="111">
        <v>848800000</v>
      </c>
      <c r="M18" s="109"/>
      <c r="N18" s="112"/>
      <c r="O18" s="113">
        <v>857800000</v>
      </c>
      <c r="P18" s="109">
        <f>O18/$O$55</f>
        <v>2.9971411918982477E-2</v>
      </c>
      <c r="Q18" s="112">
        <f>O18/L18-1</f>
        <v>1.0603204524033849E-2</v>
      </c>
      <c r="R18" s="11"/>
      <c r="S18" s="11"/>
    </row>
    <row r="19" spans="1:20" ht="15.75" thickBot="1" x14ac:dyDescent="0.3">
      <c r="A19" s="114"/>
      <c r="B19" s="115"/>
      <c r="C19" s="881" t="s">
        <v>66</v>
      </c>
      <c r="D19" s="882"/>
      <c r="E19" s="882"/>
      <c r="F19" s="882"/>
      <c r="G19" s="882"/>
      <c r="H19" s="116">
        <f>SUM(H16:H18)</f>
        <v>21608859232</v>
      </c>
      <c r="I19" s="116">
        <f>SUM(I16:I18)</f>
        <v>22624099832</v>
      </c>
      <c r="J19" s="117">
        <f>I19/$I$54</f>
        <v>1.1230706341229597</v>
      </c>
      <c r="K19" s="118">
        <f>I19/H19-1</f>
        <v>4.698260972964996E-2</v>
      </c>
      <c r="L19" s="119">
        <f>SUM(L16:L18)</f>
        <v>23136099832</v>
      </c>
      <c r="M19" s="117">
        <f>L19/$L$55</f>
        <v>0.80802748340486041</v>
      </c>
      <c r="N19" s="120">
        <f>L19/I19-1</f>
        <v>2.2630734650304962E-2</v>
      </c>
      <c r="O19" s="121">
        <f>SUM(O16:O18)</f>
        <v>24075099832</v>
      </c>
      <c r="P19" s="117">
        <f>O19/$O$55</f>
        <v>0.84118061792433885</v>
      </c>
      <c r="Q19" s="120">
        <f>O19/L19-1</f>
        <v>4.058592445651743E-2</v>
      </c>
      <c r="R19" s="11"/>
      <c r="S19" s="11"/>
    </row>
    <row r="20" spans="1:20" x14ac:dyDescent="0.25">
      <c r="A20" s="78"/>
      <c r="B20" s="79"/>
      <c r="C20" s="80"/>
      <c r="D20" s="42"/>
      <c r="E20" s="42"/>
      <c r="F20" s="42"/>
      <c r="G20" s="42"/>
      <c r="H20" s="122"/>
      <c r="I20" s="122"/>
      <c r="J20" s="123"/>
      <c r="K20" s="124"/>
      <c r="L20" s="125"/>
      <c r="M20" s="123"/>
      <c r="N20" s="126"/>
      <c r="O20" s="127"/>
      <c r="P20" s="123"/>
      <c r="Q20" s="126"/>
      <c r="R20" s="11"/>
    </row>
    <row r="21" spans="1:20" ht="15.75" thickBot="1" x14ac:dyDescent="0.3">
      <c r="A21" s="78"/>
      <c r="B21" s="79"/>
      <c r="C21" s="80" t="s">
        <v>67</v>
      </c>
      <c r="D21" s="42"/>
      <c r="E21" s="42"/>
      <c r="F21" s="42"/>
      <c r="G21" s="42"/>
      <c r="H21" s="122"/>
      <c r="I21" s="122"/>
      <c r="J21" s="128"/>
      <c r="K21" s="128"/>
      <c r="L21" s="125"/>
      <c r="M21" s="128"/>
      <c r="N21" s="129"/>
      <c r="O21" s="127"/>
      <c r="P21" s="128"/>
      <c r="Q21" s="129"/>
      <c r="R21" s="11"/>
    </row>
    <row r="22" spans="1:20" x14ac:dyDescent="0.25">
      <c r="A22" s="90" t="s">
        <v>65</v>
      </c>
      <c r="B22" s="91"/>
      <c r="C22" s="875" t="s">
        <v>68</v>
      </c>
      <c r="D22" s="876"/>
      <c r="E22" s="876"/>
      <c r="F22" s="876"/>
      <c r="G22" s="876"/>
      <c r="H22" s="130">
        <v>1748385000</v>
      </c>
      <c r="I22" s="130">
        <v>1738530000</v>
      </c>
      <c r="J22" s="131">
        <f t="shared" ref="J22:J28" si="0">I22/$I$54</f>
        <v>8.6301422113605766E-2</v>
      </c>
      <c r="K22" s="132">
        <f t="shared" ref="K22:K28" si="1">I22/H22-1</f>
        <v>-5.6366303760327918E-3</v>
      </c>
      <c r="L22" s="133">
        <v>1678725000</v>
      </c>
      <c r="M22" s="131">
        <f t="shared" ref="M22:M27" si="2">L22/$L$54</f>
        <v>5.8629412343850766E-2</v>
      </c>
      <c r="N22" s="134">
        <f t="shared" ref="N22:N28" si="3">L22/I22-1</f>
        <v>-3.4399751514210264E-2</v>
      </c>
      <c r="O22" s="135">
        <v>1678725000</v>
      </c>
      <c r="P22" s="131">
        <f t="shared" ref="P22:P28" si="4">O22/$O$55</f>
        <v>5.865441649999284E-2</v>
      </c>
      <c r="Q22" s="134">
        <f t="shared" ref="Q22:Q28" si="5">O22/L22-1</f>
        <v>0</v>
      </c>
      <c r="R22" s="11"/>
      <c r="S22" s="11"/>
    </row>
    <row r="23" spans="1:20" x14ac:dyDescent="0.25">
      <c r="A23" s="136"/>
      <c r="B23" s="137" t="s">
        <v>69</v>
      </c>
      <c r="C23" s="877" t="s">
        <v>70</v>
      </c>
      <c r="D23" s="878"/>
      <c r="E23" s="878"/>
      <c r="F23" s="878"/>
      <c r="G23" s="878"/>
      <c r="H23" s="138">
        <v>120000000</v>
      </c>
      <c r="I23" s="138">
        <v>115000000</v>
      </c>
      <c r="J23" s="139">
        <f t="shared" si="0"/>
        <v>5.7086524495203782E-3</v>
      </c>
      <c r="K23" s="140">
        <f t="shared" si="1"/>
        <v>-4.166666666666663E-2</v>
      </c>
      <c r="L23" s="141">
        <v>120000000</v>
      </c>
      <c r="M23" s="139">
        <f t="shared" si="2"/>
        <v>4.1909958338989953E-3</v>
      </c>
      <c r="N23" s="142">
        <f t="shared" si="3"/>
        <v>4.3478260869565188E-2</v>
      </c>
      <c r="O23" s="143">
        <v>120000000</v>
      </c>
      <c r="P23" s="139">
        <f t="shared" si="4"/>
        <v>4.1927832015363686E-3</v>
      </c>
      <c r="Q23" s="142">
        <f t="shared" si="5"/>
        <v>0</v>
      </c>
      <c r="R23" s="11"/>
      <c r="S23" s="11"/>
    </row>
    <row r="24" spans="1:20" x14ac:dyDescent="0.25">
      <c r="A24" s="136" t="s">
        <v>65</v>
      </c>
      <c r="B24" s="137"/>
      <c r="C24" s="877" t="s">
        <v>71</v>
      </c>
      <c r="D24" s="878"/>
      <c r="E24" s="878"/>
      <c r="F24" s="878"/>
      <c r="G24" s="878"/>
      <c r="H24" s="138">
        <v>20000000</v>
      </c>
      <c r="I24" s="138">
        <v>20000000</v>
      </c>
      <c r="J24" s="139">
        <f t="shared" si="0"/>
        <v>9.9280912165571793E-4</v>
      </c>
      <c r="K24" s="140">
        <f t="shared" si="1"/>
        <v>0</v>
      </c>
      <c r="L24" s="141">
        <v>24000000</v>
      </c>
      <c r="M24" s="139">
        <f t="shared" si="2"/>
        <v>8.3819916677979915E-4</v>
      </c>
      <c r="N24" s="142">
        <f t="shared" si="3"/>
        <v>0.19999999999999996</v>
      </c>
      <c r="O24" s="143">
        <v>24000000</v>
      </c>
      <c r="P24" s="139">
        <f t="shared" si="4"/>
        <v>8.3855664030727374E-4</v>
      </c>
      <c r="Q24" s="142">
        <f t="shared" si="5"/>
        <v>0</v>
      </c>
      <c r="R24" s="11"/>
      <c r="S24" s="11"/>
    </row>
    <row r="25" spans="1:20" x14ac:dyDescent="0.25">
      <c r="A25" s="136"/>
      <c r="B25" s="137" t="s">
        <v>69</v>
      </c>
      <c r="C25" s="877" t="s">
        <v>161</v>
      </c>
      <c r="D25" s="878"/>
      <c r="E25" s="878"/>
      <c r="F25" s="878"/>
      <c r="G25" s="878"/>
      <c r="H25" s="138">
        <v>2000000</v>
      </c>
      <c r="I25" s="138">
        <v>2000000</v>
      </c>
      <c r="J25" s="139">
        <f t="shared" si="0"/>
        <v>9.9280912165571793E-5</v>
      </c>
      <c r="K25" s="140">
        <f t="shared" si="1"/>
        <v>0</v>
      </c>
      <c r="L25" s="141">
        <v>2000000</v>
      </c>
      <c r="M25" s="139">
        <f t="shared" si="2"/>
        <v>6.9849930564983267E-5</v>
      </c>
      <c r="N25" s="142">
        <f t="shared" si="3"/>
        <v>0</v>
      </c>
      <c r="O25" s="143">
        <v>2000000</v>
      </c>
      <c r="P25" s="139">
        <f t="shared" si="4"/>
        <v>6.9879720025606154E-5</v>
      </c>
      <c r="Q25" s="142">
        <f t="shared" si="5"/>
        <v>0</v>
      </c>
      <c r="R25" s="11"/>
      <c r="S25" s="11"/>
    </row>
    <row r="26" spans="1:20" x14ac:dyDescent="0.25">
      <c r="A26" s="136" t="s">
        <v>65</v>
      </c>
      <c r="B26" s="137"/>
      <c r="C26" s="877" t="s">
        <v>72</v>
      </c>
      <c r="D26" s="878"/>
      <c r="E26" s="878"/>
      <c r="F26" s="878"/>
      <c r="G26" s="878"/>
      <c r="H26" s="138">
        <v>764310600</v>
      </c>
      <c r="I26" s="138">
        <v>796829400</v>
      </c>
      <c r="J26" s="139">
        <f t="shared" si="0"/>
        <v>3.9554974836172638E-2</v>
      </c>
      <c r="K26" s="140">
        <f t="shared" si="1"/>
        <v>4.2546577268456121E-2</v>
      </c>
      <c r="L26" s="141">
        <v>785019600</v>
      </c>
      <c r="M26" s="139">
        <f t="shared" si="2"/>
        <v>2.7416782276075465E-2</v>
      </c>
      <c r="N26" s="142">
        <f t="shared" si="3"/>
        <v>-1.4820989285786901E-2</v>
      </c>
      <c r="O26" s="143">
        <v>759331800</v>
      </c>
      <c r="P26" s="139">
        <f t="shared" si="4"/>
        <v>2.653094679526978E-2</v>
      </c>
      <c r="Q26" s="142">
        <f t="shared" si="5"/>
        <v>-3.2722495081651481E-2</v>
      </c>
      <c r="R26" s="11"/>
      <c r="S26" s="11"/>
    </row>
    <row r="27" spans="1:20" ht="15.75" thickBot="1" x14ac:dyDescent="0.3">
      <c r="A27" s="106"/>
      <c r="B27" s="144" t="s">
        <v>69</v>
      </c>
      <c r="C27" s="879" t="s">
        <v>160</v>
      </c>
      <c r="D27" s="880"/>
      <c r="E27" s="880"/>
      <c r="F27" s="880"/>
      <c r="G27" s="880"/>
      <c r="H27" s="145">
        <v>25000000</v>
      </c>
      <c r="I27" s="145">
        <v>25000000</v>
      </c>
      <c r="J27" s="146">
        <f t="shared" si="0"/>
        <v>1.2410114020696473E-3</v>
      </c>
      <c r="K27" s="110">
        <f t="shared" si="1"/>
        <v>0</v>
      </c>
      <c r="L27" s="147">
        <v>25000000</v>
      </c>
      <c r="M27" s="146">
        <f t="shared" si="2"/>
        <v>8.7312413206229076E-4</v>
      </c>
      <c r="N27" s="148">
        <f t="shared" si="3"/>
        <v>0</v>
      </c>
      <c r="O27" s="149">
        <v>25000000</v>
      </c>
      <c r="P27" s="146">
        <f t="shared" si="4"/>
        <v>8.7349650032007679E-4</v>
      </c>
      <c r="Q27" s="148">
        <f t="shared" si="5"/>
        <v>0</v>
      </c>
      <c r="R27" s="11"/>
      <c r="S27" s="11"/>
    </row>
    <row r="28" spans="1:20" ht="15.75" thickBot="1" x14ac:dyDescent="0.3">
      <c r="A28" s="114"/>
      <c r="B28" s="115"/>
      <c r="C28" s="881" t="s">
        <v>73</v>
      </c>
      <c r="D28" s="882"/>
      <c r="E28" s="882"/>
      <c r="F28" s="882"/>
      <c r="G28" s="882"/>
      <c r="H28" s="116">
        <f>SUM(H22:H27)</f>
        <v>2679695600</v>
      </c>
      <c r="I28" s="116">
        <f>SUM(I22:I27)</f>
        <v>2697359400</v>
      </c>
      <c r="J28" s="117">
        <f t="shared" si="0"/>
        <v>0.13389815083518972</v>
      </c>
      <c r="K28" s="118">
        <f t="shared" si="1"/>
        <v>6.5917188504545088E-3</v>
      </c>
      <c r="L28" s="119">
        <f>SUM(L22:L27)</f>
        <v>2634744600</v>
      </c>
      <c r="M28" s="117">
        <f>L28/$L$55</f>
        <v>9.2018363683232296E-2</v>
      </c>
      <c r="N28" s="120">
        <f t="shared" si="3"/>
        <v>-2.3213369341883006E-2</v>
      </c>
      <c r="O28" s="121">
        <f>SUM(O22:O27)</f>
        <v>2609056800</v>
      </c>
      <c r="P28" s="117">
        <f t="shared" si="4"/>
        <v>9.1160079357451948E-2</v>
      </c>
      <c r="Q28" s="120">
        <f t="shared" si="5"/>
        <v>-9.7496356952396779E-3</v>
      </c>
      <c r="R28" s="11"/>
      <c r="S28" s="11"/>
    </row>
    <row r="29" spans="1:20" x14ac:dyDescent="0.25">
      <c r="A29" s="78"/>
      <c r="B29" s="79"/>
      <c r="C29" s="80"/>
      <c r="D29" s="42"/>
      <c r="E29" s="42"/>
      <c r="F29" s="42"/>
      <c r="G29" s="42"/>
      <c r="H29" s="122"/>
      <c r="I29" s="122"/>
      <c r="J29" s="123"/>
      <c r="K29" s="128"/>
      <c r="L29" s="125"/>
      <c r="M29" s="123"/>
      <c r="N29" s="129"/>
      <c r="O29" s="127"/>
      <c r="P29" s="123"/>
      <c r="Q29" s="129"/>
      <c r="R29" s="11"/>
    </row>
    <row r="30" spans="1:20" x14ac:dyDescent="0.25">
      <c r="A30" s="78"/>
      <c r="B30" s="79"/>
      <c r="C30" s="87" t="s">
        <v>74</v>
      </c>
      <c r="D30" s="42"/>
      <c r="E30" s="42"/>
      <c r="F30" s="42"/>
      <c r="G30" s="42"/>
      <c r="H30" s="122"/>
      <c r="I30" s="122"/>
      <c r="J30" s="128"/>
      <c r="K30" s="128"/>
      <c r="L30" s="125"/>
      <c r="M30" s="128"/>
      <c r="N30" s="129"/>
      <c r="O30" s="127"/>
      <c r="P30" s="128"/>
      <c r="Q30" s="129"/>
      <c r="R30" s="11"/>
    </row>
    <row r="31" spans="1:20" x14ac:dyDescent="0.25">
      <c r="A31" s="98" t="s">
        <v>65</v>
      </c>
      <c r="B31" s="150" t="s">
        <v>69</v>
      </c>
      <c r="C31" s="877" t="s">
        <v>75</v>
      </c>
      <c r="D31" s="878"/>
      <c r="E31" s="878"/>
      <c r="F31" s="878"/>
      <c r="G31" s="878"/>
      <c r="H31" s="138">
        <v>1420000000</v>
      </c>
      <c r="I31" s="138">
        <v>1399232643</v>
      </c>
      <c r="J31" s="139">
        <f>I31/$I$54</f>
        <v>6.9458546564441934E-2</v>
      </c>
      <c r="K31" s="140">
        <f>I31/H31-1</f>
        <v>-1.4624899295774596E-2</v>
      </c>
      <c r="L31" s="141">
        <v>1399232643</v>
      </c>
      <c r="M31" s="139">
        <f>L31/$L$54</f>
        <v>4.8868151478904005E-2</v>
      </c>
      <c r="N31" s="151">
        <f>L31/I31-1</f>
        <v>0</v>
      </c>
      <c r="O31" s="143">
        <v>1399232643</v>
      </c>
      <c r="P31" s="139">
        <f>O31/$O$55</f>
        <v>4.8888992671764456E-2</v>
      </c>
      <c r="Q31" s="151">
        <f>O31/L31-1</f>
        <v>0</v>
      </c>
      <c r="R31" s="11"/>
    </row>
    <row r="32" spans="1:20" x14ac:dyDescent="0.25">
      <c r="A32" s="136" t="s">
        <v>65</v>
      </c>
      <c r="B32" s="137"/>
      <c r="C32" s="150" t="s">
        <v>152</v>
      </c>
      <c r="D32" s="152" t="s">
        <v>269</v>
      </c>
      <c r="E32" s="79"/>
      <c r="F32" s="79"/>
      <c r="G32" s="79"/>
      <c r="H32" s="153">
        <v>1235000000</v>
      </c>
      <c r="I32" s="153">
        <v>1239232643</v>
      </c>
      <c r="J32" s="139">
        <f>I32/$I$54</f>
        <v>6.1516073591196194E-2</v>
      </c>
      <c r="K32" s="140">
        <f>I32/H32-1</f>
        <v>3.4272412955465015E-3</v>
      </c>
      <c r="L32" s="154">
        <v>1239232643</v>
      </c>
      <c r="M32" s="139">
        <f>L32/$L$54</f>
        <v>4.3280157033705344E-2</v>
      </c>
      <c r="N32" s="151">
        <f>L32/I32-1</f>
        <v>0</v>
      </c>
      <c r="O32" s="155">
        <v>1239232643</v>
      </c>
      <c r="P32" s="139">
        <f>O32/$O$55</f>
        <v>4.3298615069715968E-2</v>
      </c>
      <c r="Q32" s="151">
        <f>O32/L32-1</f>
        <v>0</v>
      </c>
      <c r="R32" s="11"/>
    </row>
    <row r="33" spans="1:19" x14ac:dyDescent="0.25">
      <c r="A33" s="136"/>
      <c r="B33" s="137" t="s">
        <v>69</v>
      </c>
      <c r="C33" s="156"/>
      <c r="D33" s="157" t="s">
        <v>289</v>
      </c>
      <c r="E33" s="158"/>
      <c r="F33" s="158"/>
      <c r="G33" s="159"/>
      <c r="H33" s="160">
        <v>185000000</v>
      </c>
      <c r="I33" s="161">
        <v>160000000</v>
      </c>
      <c r="J33" s="139">
        <f>I33/$I$54</f>
        <v>7.9424729732457434E-3</v>
      </c>
      <c r="K33" s="140">
        <f>I33/H33-1</f>
        <v>-0.13513513513513509</v>
      </c>
      <c r="L33" s="162">
        <v>160000000</v>
      </c>
      <c r="M33" s="139">
        <f>L33/$L$54</f>
        <v>5.5879944451986607E-3</v>
      </c>
      <c r="N33" s="151">
        <f>L33/I33-1</f>
        <v>0</v>
      </c>
      <c r="O33" s="163">
        <v>130000000</v>
      </c>
      <c r="P33" s="139">
        <f>O33/$O$55</f>
        <v>4.5421818016644E-3</v>
      </c>
      <c r="Q33" s="151">
        <f>O33/L33-1</f>
        <v>-0.1875</v>
      </c>
      <c r="R33" s="11"/>
      <c r="S33" s="11"/>
    </row>
    <row r="34" spans="1:19" x14ac:dyDescent="0.25">
      <c r="A34" s="136"/>
      <c r="B34" s="137" t="s">
        <v>69</v>
      </c>
      <c r="C34" s="164"/>
      <c r="D34" s="157" t="s">
        <v>290</v>
      </c>
      <c r="E34" s="158"/>
      <c r="F34" s="158"/>
      <c r="G34" s="159"/>
      <c r="H34" s="160"/>
      <c r="I34" s="161">
        <v>0</v>
      </c>
      <c r="J34" s="139"/>
      <c r="K34" s="140"/>
      <c r="L34" s="162">
        <v>0</v>
      </c>
      <c r="M34" s="139"/>
      <c r="N34" s="151"/>
      <c r="O34" s="163">
        <v>30000000</v>
      </c>
      <c r="P34" s="139">
        <f>O34/$O$55</f>
        <v>1.0481958003840921E-3</v>
      </c>
      <c r="Q34" s="151"/>
      <c r="R34" s="11"/>
      <c r="S34" s="11"/>
    </row>
    <row r="35" spans="1:19" ht="15.75" thickBot="1" x14ac:dyDescent="0.3">
      <c r="A35" s="114"/>
      <c r="B35" s="115"/>
      <c r="C35" s="883" t="s">
        <v>76</v>
      </c>
      <c r="D35" s="884"/>
      <c r="E35" s="884"/>
      <c r="F35" s="884"/>
      <c r="G35" s="884"/>
      <c r="H35" s="116">
        <f>SUM(H31)</f>
        <v>1420000000</v>
      </c>
      <c r="I35" s="116">
        <f>SUM(I31)</f>
        <v>1399232643</v>
      </c>
      <c r="J35" s="117">
        <f>I35/$I$54</f>
        <v>6.9458546564441934E-2</v>
      </c>
      <c r="K35" s="118">
        <f>I35/H35-1</f>
        <v>-1.4624899295774596E-2</v>
      </c>
      <c r="L35" s="119">
        <f>SUM(L31)</f>
        <v>1399232643</v>
      </c>
      <c r="M35" s="117">
        <f>L35/$L$55</f>
        <v>4.8868151478904005E-2</v>
      </c>
      <c r="N35" s="120">
        <f>L35/I35-1</f>
        <v>0</v>
      </c>
      <c r="O35" s="121">
        <f>SUM(O31)</f>
        <v>1399232643</v>
      </c>
      <c r="P35" s="117">
        <f>O35/$O$55</f>
        <v>4.8888992671764456E-2</v>
      </c>
      <c r="Q35" s="120">
        <f>O35/L35-1</f>
        <v>0</v>
      </c>
      <c r="R35" s="11"/>
      <c r="S35" s="11"/>
    </row>
    <row r="36" spans="1:19" x14ac:dyDescent="0.25">
      <c r="A36" s="78"/>
      <c r="B36" s="79"/>
      <c r="C36" s="80"/>
      <c r="D36" s="42"/>
      <c r="E36" s="42"/>
      <c r="F36" s="42"/>
      <c r="G36" s="42"/>
      <c r="H36" s="122"/>
      <c r="I36" s="122"/>
      <c r="J36" s="123"/>
      <c r="K36" s="128"/>
      <c r="L36" s="125"/>
      <c r="M36" s="123"/>
      <c r="N36" s="129"/>
      <c r="O36" s="127"/>
      <c r="P36" s="123"/>
      <c r="Q36" s="129"/>
      <c r="R36" s="11"/>
    </row>
    <row r="37" spans="1:19" ht="15.75" thickBot="1" x14ac:dyDescent="0.3">
      <c r="A37" s="165"/>
      <c r="B37" s="166"/>
      <c r="C37" s="87" t="s">
        <v>77</v>
      </c>
      <c r="D37" s="42"/>
      <c r="E37" s="42"/>
      <c r="F37" s="42"/>
      <c r="G37" s="42"/>
      <c r="H37" s="122"/>
      <c r="I37" s="122"/>
      <c r="J37" s="128"/>
      <c r="K37" s="128"/>
      <c r="L37" s="125"/>
      <c r="M37" s="128"/>
      <c r="N37" s="129"/>
      <c r="O37" s="127"/>
      <c r="P37" s="128"/>
      <c r="Q37" s="129"/>
      <c r="R37" s="11"/>
    </row>
    <row r="38" spans="1:19" ht="15.75" thickBot="1" x14ac:dyDescent="0.3">
      <c r="A38" s="167" t="s">
        <v>65</v>
      </c>
      <c r="B38" s="168"/>
      <c r="C38" s="169" t="s">
        <v>78</v>
      </c>
      <c r="D38" s="170"/>
      <c r="E38" s="170"/>
      <c r="F38" s="170"/>
      <c r="G38" s="170"/>
      <c r="H38" s="171">
        <f>SUM(H39:H40)</f>
        <v>40000000</v>
      </c>
      <c r="I38" s="171">
        <f>SUM(I39:I40)</f>
        <v>47000000</v>
      </c>
      <c r="J38" s="172">
        <f>I38/$I$54</f>
        <v>2.3331014358909372E-3</v>
      </c>
      <c r="K38" s="173">
        <f>I38/H38-1</f>
        <v>0.17500000000000004</v>
      </c>
      <c r="L38" s="174">
        <f>SUM(L39:L40)</f>
        <v>31667000</v>
      </c>
      <c r="M38" s="172">
        <f>L38/$L$54</f>
        <v>1.1059688756006624E-3</v>
      </c>
      <c r="N38" s="175">
        <f>L38/I38-1</f>
        <v>-0.32623404255319144</v>
      </c>
      <c r="O38" s="176">
        <f>SUM(O39:O40)</f>
        <v>48367000</v>
      </c>
      <c r="P38" s="172">
        <f t="shared" ref="P38:P47" si="6">O38/$O$55</f>
        <v>1.6899362092392463E-3</v>
      </c>
      <c r="Q38" s="175">
        <f>O38/L38-1</f>
        <v>0.52736286986452785</v>
      </c>
      <c r="R38" s="11"/>
    </row>
    <row r="39" spans="1:19" x14ac:dyDescent="0.25">
      <c r="A39" s="177" t="s">
        <v>65</v>
      </c>
      <c r="B39" s="178"/>
      <c r="C39" s="156"/>
      <c r="D39" s="157" t="s">
        <v>79</v>
      </c>
      <c r="E39" s="158"/>
      <c r="F39" s="158"/>
      <c r="G39" s="159"/>
      <c r="H39" s="179">
        <v>10000000</v>
      </c>
      <c r="I39" s="138">
        <v>10000000</v>
      </c>
      <c r="J39" s="139">
        <f>I39/$I$54</f>
        <v>4.9640456082785897E-4</v>
      </c>
      <c r="K39" s="140">
        <f t="shared" ref="K39:K53" si="7">I39/H39-1</f>
        <v>0</v>
      </c>
      <c r="L39" s="141">
        <v>11667000</v>
      </c>
      <c r="M39" s="139">
        <f>L39/$L$54</f>
        <v>4.0746956995082984E-4</v>
      </c>
      <c r="N39" s="151">
        <f>L39/I39-1</f>
        <v>0.16670000000000007</v>
      </c>
      <c r="O39" s="143">
        <v>11667000</v>
      </c>
      <c r="P39" s="139">
        <f t="shared" si="6"/>
        <v>4.0764334676937348E-4</v>
      </c>
      <c r="Q39" s="151">
        <f>O39/L39-1</f>
        <v>0</v>
      </c>
      <c r="R39" s="11"/>
    </row>
    <row r="40" spans="1:19" ht="15.75" thickBot="1" x14ac:dyDescent="0.3">
      <c r="A40" s="180" t="s">
        <v>65</v>
      </c>
      <c r="B40" s="178"/>
      <c r="C40" s="156"/>
      <c r="D40" s="178" t="s">
        <v>80</v>
      </c>
      <c r="E40" s="181"/>
      <c r="F40" s="181"/>
      <c r="G40" s="182"/>
      <c r="H40" s="179">
        <v>30000000</v>
      </c>
      <c r="I40" s="138">
        <v>37000000</v>
      </c>
      <c r="J40" s="139">
        <f>I40/$I$54</f>
        <v>1.8366968750630781E-3</v>
      </c>
      <c r="K40" s="140">
        <f t="shared" si="7"/>
        <v>0.23333333333333339</v>
      </c>
      <c r="L40" s="141">
        <v>20000000</v>
      </c>
      <c r="M40" s="139">
        <f>L40/$L$54</f>
        <v>6.9849930564983259E-4</v>
      </c>
      <c r="N40" s="151">
        <f>L40/I40-1</f>
        <v>-0.45945945945945943</v>
      </c>
      <c r="O40" s="143">
        <v>36700000</v>
      </c>
      <c r="P40" s="139">
        <f t="shared" si="6"/>
        <v>1.2822928624698728E-3</v>
      </c>
      <c r="Q40" s="151">
        <f>O40/L40-1</f>
        <v>0.83499999999999996</v>
      </c>
      <c r="R40" s="11"/>
    </row>
    <row r="41" spans="1:19" ht="15.75" thickBot="1" x14ac:dyDescent="0.3">
      <c r="A41" s="441"/>
      <c r="B41" s="183"/>
      <c r="C41" s="169" t="s">
        <v>81</v>
      </c>
      <c r="D41" s="170"/>
      <c r="E41" s="170"/>
      <c r="F41" s="170"/>
      <c r="G41" s="170"/>
      <c r="H41" s="184">
        <f>SUM(H42:H52)</f>
        <v>380904400</v>
      </c>
      <c r="I41" s="184">
        <f>SUM(I42:I52)</f>
        <v>561767357</v>
      </c>
      <c r="J41" s="172">
        <f>I41/$I$54</f>
        <v>2.7886387813901205E-2</v>
      </c>
      <c r="K41" s="173">
        <f t="shared" si="7"/>
        <v>0.47482506634210586</v>
      </c>
      <c r="L41" s="185">
        <f>SUM(L42:L50)</f>
        <v>1331068926</v>
      </c>
      <c r="M41" s="172">
        <f>L41/$L$54</f>
        <v>4.6487536029153419E-2</v>
      </c>
      <c r="N41" s="175">
        <f>L41/I41-1</f>
        <v>1.3694308852481081</v>
      </c>
      <c r="O41" s="186">
        <f>SUM(O42:O50)</f>
        <v>388850666</v>
      </c>
      <c r="P41" s="172">
        <f t="shared" si="6"/>
        <v>1.3586387835925244E-2</v>
      </c>
      <c r="Q41" s="175">
        <f>O41/L41-1</f>
        <v>-0.70786586749603075</v>
      </c>
      <c r="R41" s="11"/>
    </row>
    <row r="42" spans="1:19" x14ac:dyDescent="0.25">
      <c r="A42" s="187" t="s">
        <v>65</v>
      </c>
      <c r="B42" s="152" t="s">
        <v>69</v>
      </c>
      <c r="C42" s="156" t="s">
        <v>82</v>
      </c>
      <c r="D42" s="188" t="s">
        <v>83</v>
      </c>
      <c r="E42" s="188"/>
      <c r="F42" s="188"/>
      <c r="G42" s="188"/>
      <c r="H42" s="189"/>
      <c r="I42" s="189"/>
      <c r="J42" s="190"/>
      <c r="K42" s="191"/>
      <c r="L42" s="192"/>
      <c r="M42" s="190"/>
      <c r="N42" s="193"/>
      <c r="O42" s="194"/>
      <c r="P42" s="190">
        <f t="shared" si="6"/>
        <v>0</v>
      </c>
      <c r="Q42" s="193"/>
      <c r="R42" s="11"/>
      <c r="S42" s="11"/>
    </row>
    <row r="43" spans="1:19" x14ac:dyDescent="0.25">
      <c r="A43" s="136" t="s">
        <v>65</v>
      </c>
      <c r="B43" s="152"/>
      <c r="C43" s="156"/>
      <c r="D43" s="150" t="s">
        <v>152</v>
      </c>
      <c r="E43" s="181" t="s">
        <v>84</v>
      </c>
      <c r="F43" s="188"/>
      <c r="G43" s="188"/>
      <c r="H43" s="195">
        <v>86690000</v>
      </c>
      <c r="I43" s="195">
        <v>100000000</v>
      </c>
      <c r="J43" s="196">
        <f>I43/$I$54</f>
        <v>4.9640456082785892E-3</v>
      </c>
      <c r="K43" s="197">
        <f t="shared" si="7"/>
        <v>0.15353558657284583</v>
      </c>
      <c r="L43" s="141">
        <v>100000000</v>
      </c>
      <c r="M43" s="196">
        <f>L43/$L$54</f>
        <v>3.492496528249163E-3</v>
      </c>
      <c r="N43" s="151">
        <f>L43/I43-1</f>
        <v>0</v>
      </c>
      <c r="O43" s="143">
        <v>108300000</v>
      </c>
      <c r="P43" s="196">
        <f t="shared" si="6"/>
        <v>3.7839868393865729E-3</v>
      </c>
      <c r="Q43" s="151">
        <f>O43/L43-1</f>
        <v>8.2999999999999963E-2</v>
      </c>
      <c r="R43" s="11"/>
      <c r="S43" s="11"/>
    </row>
    <row r="44" spans="1:19" x14ac:dyDescent="0.25">
      <c r="A44" s="187" t="s">
        <v>65</v>
      </c>
      <c r="B44" s="152"/>
      <c r="C44" s="156"/>
      <c r="D44" s="156"/>
      <c r="E44" s="181" t="s">
        <v>85</v>
      </c>
      <c r="F44" s="188"/>
      <c r="G44" s="188"/>
      <c r="H44" s="195">
        <v>22000000</v>
      </c>
      <c r="I44" s="195">
        <v>15000000</v>
      </c>
      <c r="J44" s="196">
        <f>I44/$I$54</f>
        <v>7.4460684124178845E-4</v>
      </c>
      <c r="K44" s="197">
        <f t="shared" si="7"/>
        <v>-0.31818181818181823</v>
      </c>
      <c r="L44" s="141">
        <v>25000000</v>
      </c>
      <c r="M44" s="196">
        <f>L44/$L$54</f>
        <v>8.7312413206229076E-4</v>
      </c>
      <c r="N44" s="151">
        <f>L44/I44-1</f>
        <v>0.66666666666666674</v>
      </c>
      <c r="O44" s="143">
        <v>25000000</v>
      </c>
      <c r="P44" s="196">
        <f t="shared" si="6"/>
        <v>8.7349650032007679E-4</v>
      </c>
      <c r="Q44" s="151">
        <f>O44/L44-1</f>
        <v>0</v>
      </c>
      <c r="R44" s="11"/>
      <c r="S44" s="11"/>
    </row>
    <row r="45" spans="1:19" x14ac:dyDescent="0.25">
      <c r="A45" s="187"/>
      <c r="B45" s="152" t="s">
        <v>69</v>
      </c>
      <c r="C45" s="156"/>
      <c r="D45" s="156"/>
      <c r="E45" s="181" t="s">
        <v>158</v>
      </c>
      <c r="F45" s="188"/>
      <c r="G45" s="188"/>
      <c r="H45" s="195">
        <v>11000000</v>
      </c>
      <c r="I45" s="195">
        <v>11000000</v>
      </c>
      <c r="J45" s="196">
        <f>I45/$I$54</f>
        <v>5.4604501691064486E-4</v>
      </c>
      <c r="K45" s="197">
        <f t="shared" si="7"/>
        <v>0</v>
      </c>
      <c r="L45" s="141">
        <v>15200000</v>
      </c>
      <c r="M45" s="196">
        <f>L45/$L$54</f>
        <v>5.308594722938728E-4</v>
      </c>
      <c r="N45" s="151">
        <f>L45/I45-1</f>
        <v>0.38181818181818183</v>
      </c>
      <c r="O45" s="143">
        <v>15200000</v>
      </c>
      <c r="P45" s="196">
        <f t="shared" si="6"/>
        <v>5.3108587219460673E-4</v>
      </c>
      <c r="Q45" s="151">
        <f>O45/L45-1</f>
        <v>0</v>
      </c>
      <c r="R45" s="11"/>
      <c r="S45" s="11"/>
    </row>
    <row r="46" spans="1:19" x14ac:dyDescent="0.25">
      <c r="A46" s="187"/>
      <c r="B46" s="152" t="s">
        <v>69</v>
      </c>
      <c r="C46" s="156"/>
      <c r="D46" s="156"/>
      <c r="E46" s="181" t="s">
        <v>159</v>
      </c>
      <c r="F46" s="181"/>
      <c r="G46" s="181"/>
      <c r="H46" s="195">
        <v>24000000</v>
      </c>
      <c r="I46" s="195">
        <v>20000000</v>
      </c>
      <c r="J46" s="196">
        <f>I46/$I$54</f>
        <v>9.9280912165571793E-4</v>
      </c>
      <c r="K46" s="197">
        <f t="shared" si="7"/>
        <v>-0.16666666666666663</v>
      </c>
      <c r="L46" s="141">
        <v>20000000</v>
      </c>
      <c r="M46" s="196">
        <f>L46/$L$54</f>
        <v>6.9849930564983259E-4</v>
      </c>
      <c r="N46" s="151">
        <f>L46/I46-1</f>
        <v>0</v>
      </c>
      <c r="O46" s="143">
        <v>20000000</v>
      </c>
      <c r="P46" s="196">
        <f t="shared" si="6"/>
        <v>6.9879720025606143E-4</v>
      </c>
      <c r="Q46" s="151">
        <f>O46/L46-1</f>
        <v>0</v>
      </c>
      <c r="R46" s="11"/>
      <c r="S46" s="11"/>
    </row>
    <row r="47" spans="1:19" x14ac:dyDescent="0.25">
      <c r="A47" s="152" t="s">
        <v>65</v>
      </c>
      <c r="B47" s="152"/>
      <c r="C47" s="156"/>
      <c r="D47" s="156"/>
      <c r="E47" s="200" t="s">
        <v>271</v>
      </c>
      <c r="F47" s="200"/>
      <c r="G47" s="200"/>
      <c r="H47" s="189"/>
      <c r="I47" s="189">
        <v>150000000</v>
      </c>
      <c r="J47" s="190"/>
      <c r="K47" s="191"/>
      <c r="L47" s="198">
        <v>200000000</v>
      </c>
      <c r="M47" s="196"/>
      <c r="N47" s="151">
        <f t="shared" ref="N47:N51" si="8">L47/I47-1</f>
        <v>0.33333333333333326</v>
      </c>
      <c r="O47" s="199">
        <v>200000000</v>
      </c>
      <c r="P47" s="196">
        <f t="shared" si="6"/>
        <v>6.9879720025606143E-3</v>
      </c>
      <c r="Q47" s="151"/>
      <c r="R47" s="11"/>
      <c r="S47" s="11"/>
    </row>
    <row r="48" spans="1:19" x14ac:dyDescent="0.25">
      <c r="A48" s="152" t="s">
        <v>65</v>
      </c>
      <c r="B48" s="152"/>
      <c r="C48" s="156"/>
      <c r="D48" s="156"/>
      <c r="E48" s="200" t="s">
        <v>274</v>
      </c>
      <c r="F48" s="200"/>
      <c r="G48" s="200"/>
      <c r="H48" s="189"/>
      <c r="I48" s="189"/>
      <c r="J48" s="190"/>
      <c r="K48" s="191"/>
      <c r="L48" s="198">
        <v>800000000</v>
      </c>
      <c r="M48" s="196"/>
      <c r="N48" s="151"/>
      <c r="O48" s="199">
        <v>0</v>
      </c>
      <c r="P48" s="196"/>
      <c r="Q48" s="151"/>
      <c r="R48" s="11"/>
      <c r="S48" s="11"/>
    </row>
    <row r="49" spans="1:20" x14ac:dyDescent="0.25">
      <c r="A49" s="152" t="s">
        <v>65</v>
      </c>
      <c r="B49" s="152"/>
      <c r="C49" s="156"/>
      <c r="D49" s="156"/>
      <c r="E49" s="200" t="s">
        <v>270</v>
      </c>
      <c r="F49" s="200"/>
      <c r="G49" s="200"/>
      <c r="H49" s="189"/>
      <c r="I49" s="189">
        <v>120000000</v>
      </c>
      <c r="J49" s="190"/>
      <c r="K49" s="191"/>
      <c r="L49" s="198">
        <v>133200000</v>
      </c>
      <c r="M49" s="196"/>
      <c r="N49" s="151">
        <f t="shared" si="8"/>
        <v>0.1100000000000001</v>
      </c>
      <c r="O49" s="199">
        <v>0</v>
      </c>
      <c r="P49" s="196">
        <f t="shared" ref="P49:P55" si="9">O49/$O$55</f>
        <v>0</v>
      </c>
      <c r="Q49" s="151"/>
      <c r="R49" s="11"/>
      <c r="S49" s="11"/>
    </row>
    <row r="50" spans="1:20" x14ac:dyDescent="0.25">
      <c r="A50" s="187" t="s">
        <v>65</v>
      </c>
      <c r="B50" s="152" t="s">
        <v>69</v>
      </c>
      <c r="C50" s="156"/>
      <c r="D50" s="156"/>
      <c r="E50" s="200" t="s">
        <v>86</v>
      </c>
      <c r="F50" s="200"/>
      <c r="G50" s="200"/>
      <c r="H50" s="189">
        <v>99214400</v>
      </c>
      <c r="I50" s="189">
        <v>45767357</v>
      </c>
      <c r="J50" s="190">
        <f>I50/$I$54</f>
        <v>2.2719124751836837E-3</v>
      </c>
      <c r="K50" s="191">
        <f t="shared" si="7"/>
        <v>-0.53870247665661442</v>
      </c>
      <c r="L50" s="198">
        <v>37668926</v>
      </c>
      <c r="M50" s="196">
        <f>L50/$L$54</f>
        <v>1.3155859327787464E-3</v>
      </c>
      <c r="N50" s="151">
        <f t="shared" si="8"/>
        <v>-0.17694775339550417</v>
      </c>
      <c r="O50" s="199">
        <v>20350666</v>
      </c>
      <c r="P50" s="196">
        <f t="shared" si="9"/>
        <v>7.1104942120731106E-4</v>
      </c>
      <c r="Q50" s="151">
        <f>O50/L50-1</f>
        <v>-0.45974923734220619</v>
      </c>
      <c r="R50" s="11"/>
      <c r="S50" s="11"/>
    </row>
    <row r="51" spans="1:20" x14ac:dyDescent="0.25">
      <c r="A51" s="187" t="s">
        <v>65</v>
      </c>
      <c r="B51" s="152"/>
      <c r="C51" s="872" t="s">
        <v>170</v>
      </c>
      <c r="D51" s="873"/>
      <c r="E51" s="873"/>
      <c r="F51" s="873"/>
      <c r="G51" s="874"/>
      <c r="H51" s="189">
        <v>100000000</v>
      </c>
      <c r="I51" s="189">
        <v>100000000</v>
      </c>
      <c r="J51" s="190"/>
      <c r="K51" s="197"/>
      <c r="L51" s="198">
        <v>100000000</v>
      </c>
      <c r="M51" s="190">
        <f t="shared" ref="M51:M52" si="10">L51/$L$54</f>
        <v>3.492496528249163E-3</v>
      </c>
      <c r="N51" s="151">
        <f t="shared" si="8"/>
        <v>0</v>
      </c>
      <c r="O51" s="199">
        <v>100000000</v>
      </c>
      <c r="P51" s="190">
        <f t="shared" si="9"/>
        <v>3.4939860012803072E-3</v>
      </c>
      <c r="Q51" s="151">
        <f t="shared" ref="Q51" si="11">O51/L51-1</f>
        <v>0</v>
      </c>
      <c r="R51" s="11"/>
      <c r="S51" s="11"/>
    </row>
    <row r="52" spans="1:20" ht="15.75" thickBot="1" x14ac:dyDescent="0.3">
      <c r="A52" s="187" t="s">
        <v>65</v>
      </c>
      <c r="B52" s="152"/>
      <c r="C52" s="885" t="s">
        <v>171</v>
      </c>
      <c r="D52" s="886"/>
      <c r="E52" s="886"/>
      <c r="F52" s="886"/>
      <c r="G52" s="887"/>
      <c r="H52" s="189">
        <v>38000000</v>
      </c>
      <c r="I52" s="189">
        <v>0</v>
      </c>
      <c r="J52" s="190"/>
      <c r="K52" s="191"/>
      <c r="L52" s="198">
        <v>0</v>
      </c>
      <c r="M52" s="196">
        <f t="shared" si="10"/>
        <v>0</v>
      </c>
      <c r="N52" s="151"/>
      <c r="O52" s="650">
        <v>0</v>
      </c>
      <c r="P52" s="196">
        <f t="shared" si="9"/>
        <v>0</v>
      </c>
      <c r="Q52" s="151"/>
      <c r="R52" s="11"/>
      <c r="S52" s="11"/>
    </row>
    <row r="53" spans="1:20" ht="15.75" thickBot="1" x14ac:dyDescent="0.3">
      <c r="A53" s="201"/>
      <c r="B53" s="202"/>
      <c r="C53" s="203" t="s">
        <v>87</v>
      </c>
      <c r="D53" s="204"/>
      <c r="E53" s="204"/>
      <c r="F53" s="204"/>
      <c r="G53" s="204"/>
      <c r="H53" s="205">
        <f>+H38+H41</f>
        <v>420904400</v>
      </c>
      <c r="I53" s="205">
        <f>+I38+I41</f>
        <v>608767357</v>
      </c>
      <c r="J53" s="206">
        <f>I53/$I$54</f>
        <v>3.0219489249792144E-2</v>
      </c>
      <c r="K53" s="207">
        <f t="shared" si="7"/>
        <v>0.44633165393376739</v>
      </c>
      <c r="L53" s="208">
        <f>+L38+L41+L51+L52</f>
        <v>1462735926</v>
      </c>
      <c r="M53" s="206">
        <f>L53/$L$55</f>
        <v>5.108600143300325E-2</v>
      </c>
      <c r="N53" s="209">
        <f>L53/I53-1</f>
        <v>1.4027831144040794</v>
      </c>
      <c r="O53" s="661">
        <f>+O38+O41+O51+O52</f>
        <v>537217666</v>
      </c>
      <c r="P53" s="206">
        <f t="shared" si="9"/>
        <v>1.8770310046444798E-2</v>
      </c>
      <c r="Q53" s="209">
        <f>O53/L53-1</f>
        <v>-0.63273092808414422</v>
      </c>
      <c r="R53" s="11"/>
      <c r="S53" s="11"/>
      <c r="T53" s="11"/>
    </row>
    <row r="54" spans="1:20" ht="6" customHeight="1" thickBot="1" x14ac:dyDescent="0.3">
      <c r="A54" s="210"/>
      <c r="B54" s="211"/>
      <c r="C54" s="212"/>
      <c r="D54" s="212"/>
      <c r="E54" s="212"/>
      <c r="F54" s="212"/>
      <c r="G54" s="212"/>
      <c r="H54" s="213">
        <v>19907272</v>
      </c>
      <c r="I54" s="213">
        <v>20144859232</v>
      </c>
      <c r="J54" s="214">
        <f>I54/$I$54</f>
        <v>1</v>
      </c>
      <c r="K54" s="215"/>
      <c r="L54" s="216">
        <f>L55</f>
        <v>28632813001</v>
      </c>
      <c r="M54" s="214"/>
      <c r="N54" s="217"/>
      <c r="O54" s="650"/>
      <c r="P54" s="214">
        <f t="shared" si="9"/>
        <v>0</v>
      </c>
      <c r="Q54" s="217"/>
      <c r="R54" s="11"/>
    </row>
    <row r="55" spans="1:20" ht="16.5" thickBot="1" x14ac:dyDescent="0.3">
      <c r="A55" s="442"/>
      <c r="B55" s="443"/>
      <c r="C55" s="444" t="s">
        <v>153</v>
      </c>
      <c r="D55" s="445"/>
      <c r="E55" s="445"/>
      <c r="F55" s="445"/>
      <c r="G55" s="446"/>
      <c r="H55" s="237">
        <f>+H19+H28+H35+H53</f>
        <v>26129459232</v>
      </c>
      <c r="I55" s="237">
        <f>+I19+I28+I35+I53</f>
        <v>27329459232</v>
      </c>
      <c r="J55" s="206">
        <f>I55/$I$54</f>
        <v>1.3566468207723836</v>
      </c>
      <c r="K55" s="207">
        <f>I55/H55-1</f>
        <v>4.5925175463654266E-2</v>
      </c>
      <c r="L55" s="447">
        <f>+L19+L28+L35+L53</f>
        <v>28632813001</v>
      </c>
      <c r="M55" s="206">
        <f>L55/$L$55</f>
        <v>1</v>
      </c>
      <c r="N55" s="209">
        <f>L55/I55-1</f>
        <v>4.7690433899032492E-2</v>
      </c>
      <c r="O55" s="448">
        <f>+O19+O28+O35+O53</f>
        <v>28620606941</v>
      </c>
      <c r="P55" s="206">
        <f t="shared" si="9"/>
        <v>1</v>
      </c>
      <c r="Q55" s="209">
        <f>O55/L55-1</f>
        <v>-4.262962217359556E-4</v>
      </c>
      <c r="R55" s="11"/>
      <c r="S55" s="11"/>
    </row>
    <row r="56" spans="1:20" ht="15.75" thickBot="1" x14ac:dyDescent="0.3"/>
    <row r="57" spans="1:20" ht="15.75" x14ac:dyDescent="0.25">
      <c r="A57" s="451"/>
      <c r="B57" s="452"/>
      <c r="C57" s="453" t="s">
        <v>154</v>
      </c>
      <c r="D57" s="454"/>
      <c r="E57" s="454"/>
      <c r="F57" s="454"/>
      <c r="G57" s="454"/>
      <c r="H57" s="130">
        <v>2245994748</v>
      </c>
      <c r="I57" s="667">
        <v>1235994748</v>
      </c>
      <c r="J57" s="455"/>
      <c r="K57" s="456"/>
      <c r="L57" s="671">
        <v>2245994748</v>
      </c>
      <c r="M57" s="455"/>
      <c r="N57" s="457"/>
      <c r="O57" s="458">
        <v>2245994748</v>
      </c>
      <c r="P57" s="455"/>
      <c r="Q57" s="457"/>
      <c r="R57" s="11"/>
    </row>
    <row r="58" spans="1:20" ht="15.75" x14ac:dyDescent="0.25">
      <c r="A58" s="218"/>
      <c r="B58" s="219"/>
      <c r="C58" s="220" t="s">
        <v>257</v>
      </c>
      <c r="D58" s="221"/>
      <c r="E58" s="221"/>
      <c r="F58" s="221"/>
      <c r="G58" s="221"/>
      <c r="H58" s="138">
        <v>36223000</v>
      </c>
      <c r="I58" s="668">
        <v>36223000</v>
      </c>
      <c r="J58" s="222"/>
      <c r="K58" s="223"/>
      <c r="L58" s="672">
        <v>36223000</v>
      </c>
      <c r="M58" s="222"/>
      <c r="N58" s="224"/>
      <c r="O58" s="225">
        <v>36223000</v>
      </c>
      <c r="P58" s="222"/>
      <c r="Q58" s="224"/>
      <c r="R58" s="459"/>
      <c r="S58" s="459"/>
      <c r="T58" s="459"/>
    </row>
    <row r="59" spans="1:20" ht="16.5" thickBot="1" x14ac:dyDescent="0.3">
      <c r="A59" s="226"/>
      <c r="B59" s="227"/>
      <c r="C59" s="228" t="s">
        <v>155</v>
      </c>
      <c r="D59" s="229"/>
      <c r="E59" s="229"/>
      <c r="F59" s="229"/>
      <c r="G59" s="229"/>
      <c r="H59" s="230">
        <v>26129459232</v>
      </c>
      <c r="I59" s="669">
        <v>27329459232</v>
      </c>
      <c r="J59" s="231"/>
      <c r="K59" s="232"/>
      <c r="L59" s="673">
        <v>28632813001</v>
      </c>
      <c r="M59" s="231"/>
      <c r="N59" s="233"/>
      <c r="O59" s="234">
        <f>O55</f>
        <v>28620606941</v>
      </c>
      <c r="P59" s="231"/>
      <c r="Q59" s="233"/>
      <c r="R59" s="459"/>
      <c r="S59" s="459"/>
      <c r="T59" s="459"/>
    </row>
    <row r="60" spans="1:20" ht="16.5" thickBot="1" x14ac:dyDescent="0.3">
      <c r="A60" s="235"/>
      <c r="B60" s="236"/>
      <c r="C60" s="870" t="s">
        <v>88</v>
      </c>
      <c r="D60" s="871"/>
      <c r="E60" s="871"/>
      <c r="F60" s="871"/>
      <c r="G60" s="871"/>
      <c r="H60" s="237"/>
      <c r="I60" s="670">
        <f>SUM(I57:I59)</f>
        <v>28601676980</v>
      </c>
      <c r="J60" s="206"/>
      <c r="K60" s="207"/>
      <c r="L60" s="674">
        <f>SUM(L57:L59)</f>
        <v>30915030749</v>
      </c>
      <c r="M60" s="206"/>
      <c r="N60" s="209"/>
      <c r="O60" s="449">
        <f>SUM(O57:O59)</f>
        <v>30902824689</v>
      </c>
      <c r="P60" s="206"/>
      <c r="Q60" s="209"/>
      <c r="R60" s="11"/>
    </row>
    <row r="61" spans="1:20" x14ac:dyDescent="0.25">
      <c r="A61" s="238"/>
      <c r="B61" s="238"/>
      <c r="C61" s="238"/>
      <c r="D61" s="238"/>
      <c r="E61" s="238"/>
      <c r="F61" s="238"/>
      <c r="G61" s="238"/>
      <c r="H61" s="239"/>
      <c r="I61" s="240"/>
      <c r="J61" s="241"/>
      <c r="K61" s="242"/>
      <c r="L61" s="242"/>
      <c r="M61" s="241"/>
      <c r="N61" s="242"/>
      <c r="O61" s="242"/>
      <c r="P61" s="243"/>
      <c r="Q61" s="243"/>
    </row>
    <row r="62" spans="1:20" ht="15.75" x14ac:dyDescent="0.25">
      <c r="A62" s="238"/>
      <c r="B62" s="238"/>
      <c r="C62" s="244" t="s">
        <v>256</v>
      </c>
      <c r="D62" s="238"/>
      <c r="E62" s="238"/>
      <c r="F62" s="238"/>
      <c r="G62" s="238"/>
      <c r="H62" s="239"/>
      <c r="I62" s="240"/>
      <c r="J62" s="241"/>
      <c r="K62" s="242"/>
      <c r="L62" s="242"/>
      <c r="M62" s="241"/>
      <c r="N62" s="242"/>
      <c r="O62" s="242"/>
      <c r="P62" s="243"/>
      <c r="Q62" s="243"/>
    </row>
    <row r="63" spans="1:20" x14ac:dyDescent="0.25">
      <c r="A63" s="238"/>
      <c r="B63" s="238"/>
      <c r="C63" s="868" t="s">
        <v>89</v>
      </c>
      <c r="D63" s="868"/>
      <c r="E63" s="868"/>
      <c r="F63" s="868"/>
      <c r="G63" s="868"/>
      <c r="H63" s="843">
        <f>SUM(H19,H22,H24,H26,H32,H38,H43,H44,H47,H48,H49,H51,H52)</f>
        <v>25663244832</v>
      </c>
      <c r="I63" s="246">
        <f>SUM(I19,I22,I24,I26,I32,I38,I43,I44,I47,I48,I49,I51,I52)</f>
        <v>26950691875</v>
      </c>
      <c r="J63" s="245"/>
      <c r="K63" s="246"/>
      <c r="L63" s="246">
        <f>SUM(L19,L22,L24,L26,L32,L38,L43,L44,L47,L48,L49,L51,L52)</f>
        <v>28252944075</v>
      </c>
      <c r="M63" s="245"/>
      <c r="N63" s="246"/>
      <c r="O63" s="246">
        <f>SUM(O19,O22,O24,O26,O32,O38,O43,O44,O47,O48,O49,O51,O52)</f>
        <v>28258056275</v>
      </c>
      <c r="P63" s="243"/>
      <c r="Q63" s="521"/>
    </row>
    <row r="64" spans="1:20" x14ac:dyDescent="0.25">
      <c r="A64" s="238"/>
      <c r="B64" s="238"/>
      <c r="C64" s="868" t="s">
        <v>90</v>
      </c>
      <c r="D64" s="868"/>
      <c r="E64" s="868"/>
      <c r="F64" s="868"/>
      <c r="G64" s="868"/>
      <c r="H64" s="843">
        <f>H23+H25+H27+H33+H34+H45+H46</f>
        <v>367000000</v>
      </c>
      <c r="I64" s="246">
        <f>I23+I25+I27+I33+I34+I45+I46</f>
        <v>333000000</v>
      </c>
      <c r="J64" s="245"/>
      <c r="K64" s="246"/>
      <c r="L64" s="246">
        <f>L23+L25+L27+L33+L34+L45+L46</f>
        <v>342200000</v>
      </c>
      <c r="M64" s="245"/>
      <c r="N64" s="246"/>
      <c r="O64" s="246">
        <f>O23+O25+O27+O33+O34+O45+O46</f>
        <v>342200000</v>
      </c>
      <c r="P64" s="243"/>
      <c r="Q64" s="243"/>
    </row>
    <row r="65" spans="1:17" x14ac:dyDescent="0.25">
      <c r="A65" s="238"/>
      <c r="B65" s="238"/>
      <c r="C65" s="868" t="s">
        <v>172</v>
      </c>
      <c r="D65" s="868"/>
      <c r="E65" s="868"/>
      <c r="F65" s="868"/>
      <c r="G65" s="868"/>
      <c r="H65" s="843">
        <f>H50</f>
        <v>99214400</v>
      </c>
      <c r="I65" s="246">
        <f>I50</f>
        <v>45767357</v>
      </c>
      <c r="J65" s="245"/>
      <c r="K65" s="246"/>
      <c r="L65" s="246">
        <f>L50</f>
        <v>37668926</v>
      </c>
      <c r="M65" s="245"/>
      <c r="N65" s="246"/>
      <c r="O65" s="246">
        <f>O50</f>
        <v>20350666</v>
      </c>
      <c r="P65" s="243"/>
      <c r="Q65" s="243"/>
    </row>
    <row r="66" spans="1:17" x14ac:dyDescent="0.25">
      <c r="A66" s="238"/>
      <c r="B66" s="238"/>
      <c r="C66" s="450"/>
      <c r="D66" s="450"/>
      <c r="E66" s="450"/>
      <c r="F66" s="450"/>
      <c r="G66" s="450"/>
      <c r="H66" s="239"/>
      <c r="I66" s="240"/>
      <c r="J66" s="241"/>
      <c r="K66" s="242"/>
      <c r="L66" s="242"/>
      <c r="M66" s="241"/>
      <c r="N66" s="242"/>
      <c r="O66" s="242"/>
      <c r="P66" s="243"/>
      <c r="Q66" s="243"/>
    </row>
    <row r="67" spans="1:17" ht="16.5" x14ac:dyDescent="0.25">
      <c r="A67" s="247" t="s">
        <v>156</v>
      </c>
      <c r="B67" s="869" t="s">
        <v>91</v>
      </c>
      <c r="C67" s="869"/>
      <c r="D67" s="869"/>
      <c r="E67" s="869"/>
      <c r="F67" s="869"/>
      <c r="G67" s="869"/>
      <c r="H67" s="869"/>
      <c r="I67" s="869"/>
      <c r="J67" s="869"/>
      <c r="K67" s="869"/>
      <c r="L67" s="869"/>
      <c r="M67" s="869"/>
      <c r="N67" s="869"/>
      <c r="O67" s="869"/>
      <c r="P67" s="869"/>
      <c r="Q67" s="869"/>
    </row>
    <row r="68" spans="1:17" ht="16.5" x14ac:dyDescent="0.25">
      <c r="A68" s="247" t="s">
        <v>157</v>
      </c>
      <c r="B68" s="869" t="s">
        <v>291</v>
      </c>
      <c r="C68" s="869"/>
      <c r="D68" s="869"/>
      <c r="E68" s="869"/>
      <c r="F68" s="869"/>
      <c r="G68" s="869"/>
      <c r="H68" s="869"/>
      <c r="I68" s="869"/>
      <c r="J68" s="869"/>
      <c r="K68" s="869"/>
      <c r="L68" s="869"/>
      <c r="M68" s="869"/>
      <c r="N68" s="869"/>
      <c r="O68" s="869"/>
      <c r="P68" s="869"/>
      <c r="Q68" s="869"/>
    </row>
    <row r="69" spans="1:17" ht="27.75" customHeight="1" x14ac:dyDescent="0.25">
      <c r="A69" s="247"/>
      <c r="B69" s="867"/>
      <c r="C69" s="867"/>
      <c r="D69" s="867"/>
      <c r="E69" s="867"/>
      <c r="F69" s="867"/>
      <c r="G69" s="867"/>
      <c r="H69" s="867"/>
      <c r="I69" s="867"/>
      <c r="J69" s="867"/>
      <c r="K69" s="867"/>
      <c r="L69" s="867"/>
      <c r="M69" s="867"/>
      <c r="N69" s="867"/>
      <c r="O69" s="867"/>
      <c r="P69" s="867"/>
      <c r="Q69" s="867"/>
    </row>
    <row r="70" spans="1:17" ht="16.5" x14ac:dyDescent="0.25">
      <c r="A70" s="247"/>
    </row>
    <row r="71" spans="1:17" ht="21" x14ac:dyDescent="0.25">
      <c r="A71" s="609" t="s">
        <v>252</v>
      </c>
      <c r="B71" s="608"/>
    </row>
  </sheetData>
  <mergeCells count="47">
    <mergeCell ref="A1:Q1"/>
    <mergeCell ref="A6:D6"/>
    <mergeCell ref="J6:K6"/>
    <mergeCell ref="A4:D4"/>
    <mergeCell ref="J4:K4"/>
    <mergeCell ref="A5:D5"/>
    <mergeCell ref="J5:K5"/>
    <mergeCell ref="A10:A12"/>
    <mergeCell ref="B10:B12"/>
    <mergeCell ref="C10:G12"/>
    <mergeCell ref="H10:H12"/>
    <mergeCell ref="I10:I12"/>
    <mergeCell ref="A7:D7"/>
    <mergeCell ref="J7:K7"/>
    <mergeCell ref="A8:H8"/>
    <mergeCell ref="J8:K8"/>
    <mergeCell ref="A9:I9"/>
    <mergeCell ref="C19:G19"/>
    <mergeCell ref="J10:J12"/>
    <mergeCell ref="K10:K12"/>
    <mergeCell ref="L10:L12"/>
    <mergeCell ref="M10:M12"/>
    <mergeCell ref="P10:P12"/>
    <mergeCell ref="Q10:Q12"/>
    <mergeCell ref="C13:G13"/>
    <mergeCell ref="C16:G16"/>
    <mergeCell ref="C17:G17"/>
    <mergeCell ref="N10:N12"/>
    <mergeCell ref="O10:O12"/>
    <mergeCell ref="C60:G60"/>
    <mergeCell ref="C51:G51"/>
    <mergeCell ref="C22:G22"/>
    <mergeCell ref="C23:G23"/>
    <mergeCell ref="C24:G24"/>
    <mergeCell ref="C25:G25"/>
    <mergeCell ref="C26:G26"/>
    <mergeCell ref="C27:G27"/>
    <mergeCell ref="C28:G28"/>
    <mergeCell ref="C31:G31"/>
    <mergeCell ref="C35:G35"/>
    <mergeCell ref="C52:G52"/>
    <mergeCell ref="B69:Q69"/>
    <mergeCell ref="C63:G63"/>
    <mergeCell ref="C64:G64"/>
    <mergeCell ref="C65:G65"/>
    <mergeCell ref="B67:Q67"/>
    <mergeCell ref="B68:Q68"/>
  </mergeCells>
  <hyperlinks>
    <hyperlink ref="A71" location="'0 Seznam'!A1" display="Seznam" xr:uid="{4F751480-CE93-4A34-902B-71FC74CA716B}"/>
  </hyperlinks>
  <pageMargins left="0.70866141732283472" right="0.70866141732283472" top="0.78740157480314965" bottom="0.78740157480314965" header="0.31496062992125984" footer="0.31496062992125984"/>
  <pageSetup paperSize="8" scale="73" orientation="landscape" r:id="rId1"/>
  <headerFooter>
    <oddHeader xml:space="preserve">&amp;LČ. j.:999/2024-1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A9D08E"/>
  </sheetPr>
  <dimension ref="A1:R37"/>
  <sheetViews>
    <sheetView zoomScale="85" zoomScaleNormal="85" workbookViewId="0">
      <selection activeCell="B28" sqref="B28"/>
    </sheetView>
  </sheetViews>
  <sheetFormatPr defaultRowHeight="15" x14ac:dyDescent="0.25"/>
  <cols>
    <col min="1" max="1" width="10.5703125" customWidth="1"/>
    <col min="2" max="2" width="45.85546875" customWidth="1"/>
    <col min="3" max="8" width="11" customWidth="1"/>
    <col min="9" max="9" width="16.85546875" customWidth="1"/>
    <col min="10" max="16" width="11" customWidth="1"/>
    <col min="17" max="18" width="15.85546875" customWidth="1"/>
  </cols>
  <sheetData>
    <row r="1" spans="1:18" ht="27.75" x14ac:dyDescent="0.25">
      <c r="A1" s="308" t="s">
        <v>311</v>
      </c>
    </row>
    <row r="2" spans="1:18" ht="28.5" thickBot="1" x14ac:dyDescent="0.3">
      <c r="A2" s="308"/>
    </row>
    <row r="3" spans="1:18" ht="15.75" customHeight="1" thickBot="1" x14ac:dyDescent="0.3">
      <c r="A3" s="961" t="s">
        <v>107</v>
      </c>
      <c r="B3" s="962"/>
      <c r="C3" s="309"/>
      <c r="D3" s="310"/>
      <c r="E3" s="310"/>
      <c r="F3" s="675">
        <v>0.2</v>
      </c>
      <c r="G3" s="309"/>
      <c r="H3" s="675">
        <v>0.1</v>
      </c>
      <c r="I3" s="309"/>
      <c r="J3" s="675">
        <v>0.1</v>
      </c>
      <c r="K3" s="309"/>
      <c r="L3" s="675">
        <v>0.5</v>
      </c>
      <c r="M3" s="676"/>
      <c r="N3" s="677">
        <v>3.5000000000000003E-2</v>
      </c>
      <c r="O3" s="676"/>
      <c r="P3" s="677">
        <v>6.5000000000000002E-2</v>
      </c>
      <c r="Q3" s="678">
        <f>SUM(F3:P3)</f>
        <v>1</v>
      </c>
      <c r="R3" s="679">
        <v>5.613349108840128E-2</v>
      </c>
    </row>
    <row r="4" spans="1:18" ht="30" customHeight="1" x14ac:dyDescent="0.25">
      <c r="A4" s="963" t="s">
        <v>2</v>
      </c>
      <c r="B4" s="965" t="s">
        <v>3</v>
      </c>
      <c r="C4" s="967" t="s">
        <v>108</v>
      </c>
      <c r="D4" s="968"/>
      <c r="E4" s="968"/>
      <c r="F4" s="969"/>
      <c r="G4" s="955" t="s">
        <v>109</v>
      </c>
      <c r="H4" s="956"/>
      <c r="I4" s="955" t="s">
        <v>110</v>
      </c>
      <c r="J4" s="956"/>
      <c r="K4" s="955" t="s">
        <v>111</v>
      </c>
      <c r="L4" s="956"/>
      <c r="M4" s="955" t="s">
        <v>162</v>
      </c>
      <c r="N4" s="956"/>
      <c r="O4" s="955" t="s">
        <v>112</v>
      </c>
      <c r="P4" s="956"/>
      <c r="Q4" s="957" t="s">
        <v>113</v>
      </c>
      <c r="R4" s="957" t="s">
        <v>114</v>
      </c>
    </row>
    <row r="5" spans="1:18" ht="15.75" thickBot="1" x14ac:dyDescent="0.3">
      <c r="A5" s="964"/>
      <c r="B5" s="966"/>
      <c r="C5" s="311" t="s">
        <v>115</v>
      </c>
      <c r="D5" s="312" t="s">
        <v>116</v>
      </c>
      <c r="E5" s="313" t="s">
        <v>28</v>
      </c>
      <c r="F5" s="314" t="s">
        <v>117</v>
      </c>
      <c r="G5" s="315" t="s">
        <v>28</v>
      </c>
      <c r="H5" s="316" t="s">
        <v>117</v>
      </c>
      <c r="I5" s="315" t="s">
        <v>28</v>
      </c>
      <c r="J5" s="316" t="s">
        <v>117</v>
      </c>
      <c r="K5" s="315" t="s">
        <v>28</v>
      </c>
      <c r="L5" s="316" t="s">
        <v>117</v>
      </c>
      <c r="M5" s="315" t="s">
        <v>28</v>
      </c>
      <c r="N5" s="316" t="s">
        <v>117</v>
      </c>
      <c r="O5" s="315" t="s">
        <v>28</v>
      </c>
      <c r="P5" s="316" t="s">
        <v>117</v>
      </c>
      <c r="Q5" s="958"/>
      <c r="R5" s="958"/>
    </row>
    <row r="6" spans="1:18" x14ac:dyDescent="0.25">
      <c r="A6" s="317">
        <v>51000</v>
      </c>
      <c r="B6" s="318" t="s">
        <v>23</v>
      </c>
      <c r="C6" s="680"/>
      <c r="D6" s="681"/>
      <c r="E6" s="682"/>
      <c r="F6" s="683">
        <f>0.5*F12+0.3*F18+0.2*F24</f>
        <v>0.36157189611392637</v>
      </c>
      <c r="G6" s="680"/>
      <c r="H6" s="683">
        <f>H12</f>
        <v>0.50077066257179603</v>
      </c>
      <c r="I6" s="680"/>
      <c r="J6" s="684">
        <f>J12</f>
        <v>0.52361738969131277</v>
      </c>
      <c r="K6" s="680"/>
      <c r="L6" s="683">
        <f>L12</f>
        <v>0.42472243397583087</v>
      </c>
      <c r="M6" s="680"/>
      <c r="N6" s="684">
        <f>N12</f>
        <v>0.8273032351545071</v>
      </c>
      <c r="O6" s="680"/>
      <c r="P6" s="683">
        <f>0.5*P18+0.3*P24+0.2*P30</f>
        <v>0.37577617616356579</v>
      </c>
      <c r="Q6" s="685">
        <f t="array" ref="Q6">SUM($C$3:$P$3*C6:P6)</f>
        <v>0.44049546611805113</v>
      </c>
      <c r="R6" s="686">
        <f>Q6*$R$3</f>
        <v>2.4726548321818791E-2</v>
      </c>
    </row>
    <row r="7" spans="1:18" x14ac:dyDescent="0.25">
      <c r="A7" s="317">
        <v>52000</v>
      </c>
      <c r="B7" s="319" t="s">
        <v>24</v>
      </c>
      <c r="C7" s="681"/>
      <c r="D7" s="681"/>
      <c r="E7" s="681"/>
      <c r="F7" s="687">
        <f t="shared" ref="F7:F9" si="0">0.5*F13+0.3*F19+0.2*F25</f>
        <v>0.16447526426167342</v>
      </c>
      <c r="G7" s="688"/>
      <c r="H7" s="687">
        <f t="shared" ref="H7:H9" si="1">H13</f>
        <v>8.8077187020114148E-2</v>
      </c>
      <c r="I7" s="688"/>
      <c r="J7" s="689">
        <f t="shared" ref="J7:J9" si="2">J13</f>
        <v>0.13247973155077761</v>
      </c>
      <c r="K7" s="688"/>
      <c r="L7" s="687">
        <f t="shared" ref="L7:L9" si="3">L13</f>
        <v>0.14506554598068117</v>
      </c>
      <c r="M7" s="688"/>
      <c r="N7" s="689">
        <f t="shared" ref="N7:N9" si="4">N13</f>
        <v>1.489470765510569E-2</v>
      </c>
      <c r="O7" s="688"/>
      <c r="P7" s="687">
        <f t="shared" ref="P7:P9" si="5">0.5*P19+0.3*P25+0.2*P31</f>
        <v>5.039889699922373E-2</v>
      </c>
      <c r="Q7" s="690">
        <f t="array" ref="Q7">SUM($C$3:$P$3*C7:P7)</f>
        <v>0.13128076077264267</v>
      </c>
      <c r="R7" s="691">
        <f>Q7*$R$3</f>
        <v>7.3692474149096776E-3</v>
      </c>
    </row>
    <row r="8" spans="1:18" x14ac:dyDescent="0.25">
      <c r="A8" s="317">
        <v>53000</v>
      </c>
      <c r="B8" s="319" t="s">
        <v>25</v>
      </c>
      <c r="C8" s="681"/>
      <c r="D8" s="681"/>
      <c r="E8" s="681"/>
      <c r="F8" s="689">
        <f t="shared" si="0"/>
        <v>0.28375562908948854</v>
      </c>
      <c r="G8" s="688"/>
      <c r="H8" s="687">
        <f t="shared" si="1"/>
        <v>0.12967088251887288</v>
      </c>
      <c r="I8" s="688"/>
      <c r="J8" s="689">
        <f t="shared" si="2"/>
        <v>0.19712061244529064</v>
      </c>
      <c r="K8" s="688"/>
      <c r="L8" s="687">
        <f t="shared" si="3"/>
        <v>0.20210767375015309</v>
      </c>
      <c r="M8" s="688"/>
      <c r="N8" s="689">
        <f t="shared" si="4"/>
        <v>0.15430103585091146</v>
      </c>
      <c r="O8" s="688"/>
      <c r="P8" s="687">
        <f t="shared" si="5"/>
        <v>0.48761935047202121</v>
      </c>
      <c r="Q8" s="691">
        <f t="array" ref="Q8">SUM($C$3:$P$3*C8:P8)</f>
        <v>0.22757990622485388</v>
      </c>
      <c r="R8" s="691">
        <f>Q8*$R$3</f>
        <v>1.2774854637972035E-2</v>
      </c>
    </row>
    <row r="9" spans="1:18" ht="15" customHeight="1" thickBot="1" x14ac:dyDescent="0.3">
      <c r="A9" s="320">
        <v>54000</v>
      </c>
      <c r="B9" s="321" t="s">
        <v>275</v>
      </c>
      <c r="C9" s="692"/>
      <c r="D9" s="681"/>
      <c r="E9" s="693"/>
      <c r="F9" s="694">
        <f t="shared" si="0"/>
        <v>0.1901972105349117</v>
      </c>
      <c r="G9" s="688"/>
      <c r="H9" s="687">
        <f t="shared" si="1"/>
        <v>0.28148126788921696</v>
      </c>
      <c r="I9" s="688"/>
      <c r="J9" s="689">
        <f t="shared" si="2"/>
        <v>0.14678226631261898</v>
      </c>
      <c r="K9" s="688"/>
      <c r="L9" s="687">
        <f t="shared" si="3"/>
        <v>0.22810434629333479</v>
      </c>
      <c r="M9" s="688"/>
      <c r="N9" s="689">
        <f t="shared" si="4"/>
        <v>3.5010213394758571E-3</v>
      </c>
      <c r="O9" s="688"/>
      <c r="P9" s="687">
        <f t="shared" si="5"/>
        <v>8.6205576365189204E-2</v>
      </c>
      <c r="Q9" s="690">
        <f t="array" ref="Q9">SUM($C$3:$P$3*C9:P9)</f>
        <v>0.20064386688445227</v>
      </c>
      <c r="R9" s="691">
        <f>Q9*$R$3</f>
        <v>1.1262840713700773E-2</v>
      </c>
    </row>
    <row r="10" spans="1:18" ht="15.75" thickBot="1" x14ac:dyDescent="0.3">
      <c r="A10" s="959" t="s">
        <v>118</v>
      </c>
      <c r="B10" s="960"/>
      <c r="C10" s="695"/>
      <c r="D10" s="695"/>
      <c r="E10" s="695"/>
      <c r="F10" s="696">
        <f>SUM(F6:F9)</f>
        <v>1</v>
      </c>
      <c r="G10" s="697"/>
      <c r="H10" s="698">
        <f>SUM(H6:H9)</f>
        <v>1</v>
      </c>
      <c r="I10" s="697"/>
      <c r="J10" s="696">
        <f>SUM(J6:J9)</f>
        <v>1</v>
      </c>
      <c r="K10" s="697"/>
      <c r="L10" s="698">
        <f>SUM(L6:L9)</f>
        <v>0.99999999999999978</v>
      </c>
      <c r="M10" s="697"/>
      <c r="N10" s="696">
        <f>SUM(N6:N9)</f>
        <v>1.0000000000000002</v>
      </c>
      <c r="O10" s="697"/>
      <c r="P10" s="698">
        <f>SUM(P6:P9)</f>
        <v>1</v>
      </c>
      <c r="Q10" s="699">
        <f>SUM(Q6:Q9)</f>
        <v>1</v>
      </c>
      <c r="R10" s="700">
        <f>SUM(R6:R9)</f>
        <v>5.613349108840128E-2</v>
      </c>
    </row>
    <row r="11" spans="1:18" ht="15.75" thickBot="1" x14ac:dyDescent="0.3">
      <c r="Q11" s="656"/>
      <c r="R11" s="849"/>
    </row>
    <row r="12" spans="1:18" x14ac:dyDescent="0.25">
      <c r="A12" s="322">
        <v>51000</v>
      </c>
      <c r="B12" s="318" t="s">
        <v>23</v>
      </c>
      <c r="C12" s="701">
        <v>8377</v>
      </c>
      <c r="D12" s="701">
        <v>20316</v>
      </c>
      <c r="E12" s="701">
        <f>SUM(D12,C12)</f>
        <v>28693</v>
      </c>
      <c r="F12" s="683">
        <f>E12/$E$16</f>
        <v>0.33133177057471797</v>
      </c>
      <c r="G12" s="702">
        <v>1453.1723537160849</v>
      </c>
      <c r="H12" s="683">
        <f>G12/$G$16</f>
        <v>0.50077066257179603</v>
      </c>
      <c r="I12" s="702"/>
      <c r="J12" s="684">
        <v>0.52361738969131277</v>
      </c>
      <c r="K12" s="702">
        <v>139368.20499999999</v>
      </c>
      <c r="L12" s="683">
        <f>K12/$K$16</f>
        <v>0.42472243397583087</v>
      </c>
      <c r="M12" s="702"/>
      <c r="N12" s="683">
        <v>0.8273032351545071</v>
      </c>
      <c r="Q12" s="656"/>
      <c r="R12" s="849"/>
    </row>
    <row r="13" spans="1:18" x14ac:dyDescent="0.25">
      <c r="A13" s="317">
        <v>52000</v>
      </c>
      <c r="B13" s="319" t="s">
        <v>24</v>
      </c>
      <c r="C13" s="703">
        <v>5570</v>
      </c>
      <c r="D13" s="703">
        <v>13186</v>
      </c>
      <c r="E13" s="703">
        <f>SUM(D13,C13)</f>
        <v>18756</v>
      </c>
      <c r="F13" s="687">
        <f t="shared" ref="F13:F15" si="6">E13/$E$16</f>
        <v>0.21658448711878889</v>
      </c>
      <c r="G13" s="704">
        <v>255.58872101929654</v>
      </c>
      <c r="H13" s="687">
        <f t="shared" ref="H13:H15" si="7">G13/$G$16</f>
        <v>8.8077187020114148E-2</v>
      </c>
      <c r="I13" s="704"/>
      <c r="J13" s="689">
        <v>0.13247973155077761</v>
      </c>
      <c r="K13" s="704">
        <v>47601.735000000001</v>
      </c>
      <c r="L13" s="687">
        <f t="shared" ref="L13:L15" si="8">K13/$K$16</f>
        <v>0.14506554598068117</v>
      </c>
      <c r="M13" s="704"/>
      <c r="N13" s="687">
        <v>1.489470765510569E-2</v>
      </c>
      <c r="Q13" s="656"/>
      <c r="R13" s="849"/>
    </row>
    <row r="14" spans="1:18" x14ac:dyDescent="0.25">
      <c r="A14" s="317">
        <v>53000</v>
      </c>
      <c r="B14" s="319" t="s">
        <v>25</v>
      </c>
      <c r="C14" s="703">
        <v>9036</v>
      </c>
      <c r="D14" s="703">
        <v>17145</v>
      </c>
      <c r="E14" s="703">
        <f>SUM(D14,C14)</f>
        <v>26181</v>
      </c>
      <c r="F14" s="689">
        <f t="shared" si="6"/>
        <v>0.3023245072113997</v>
      </c>
      <c r="G14" s="704">
        <v>376.28830049798773</v>
      </c>
      <c r="H14" s="687">
        <f t="shared" si="7"/>
        <v>0.12967088251887288</v>
      </c>
      <c r="I14" s="704"/>
      <c r="J14" s="689">
        <v>0.19712061244529064</v>
      </c>
      <c r="K14" s="704">
        <v>66319.509999999995</v>
      </c>
      <c r="L14" s="687">
        <f t="shared" si="8"/>
        <v>0.20210767375015309</v>
      </c>
      <c r="M14" s="704"/>
      <c r="N14" s="687">
        <v>0.15430103585091146</v>
      </c>
      <c r="Q14" s="656"/>
      <c r="R14" s="849"/>
    </row>
    <row r="15" spans="1:18" ht="15" customHeight="1" thickBot="1" x14ac:dyDescent="0.3">
      <c r="A15" s="850">
        <v>54000</v>
      </c>
      <c r="B15" s="851" t="s">
        <v>275</v>
      </c>
      <c r="C15" s="852">
        <v>5950</v>
      </c>
      <c r="D15" s="853">
        <v>7019</v>
      </c>
      <c r="E15" s="852">
        <f>SUM(D15,C15)</f>
        <v>12969</v>
      </c>
      <c r="F15" s="854">
        <f t="shared" si="6"/>
        <v>0.14975923509509348</v>
      </c>
      <c r="G15" s="855">
        <v>816.8226039537941</v>
      </c>
      <c r="H15" s="856">
        <f t="shared" si="7"/>
        <v>0.28148126788921696</v>
      </c>
      <c r="I15" s="855"/>
      <c r="J15" s="857">
        <v>0.14678226631261898</v>
      </c>
      <c r="K15" s="855">
        <v>74850.044999999998</v>
      </c>
      <c r="L15" s="856">
        <f t="shared" si="8"/>
        <v>0.22810434629333479</v>
      </c>
      <c r="M15" s="855"/>
      <c r="N15" s="856">
        <v>3.5010213394758571E-3</v>
      </c>
      <c r="O15" s="858"/>
      <c r="P15" s="858"/>
      <c r="Q15" s="858"/>
      <c r="R15" s="858"/>
    </row>
    <row r="16" spans="1:18" ht="15.75" thickBot="1" x14ac:dyDescent="0.3">
      <c r="A16" s="323">
        <v>2023</v>
      </c>
      <c r="B16" s="324" t="s">
        <v>118</v>
      </c>
      <c r="C16" s="706">
        <f t="shared" ref="C16:H16" si="9">SUM(C12:C15)</f>
        <v>28933</v>
      </c>
      <c r="D16" s="706">
        <f t="shared" si="9"/>
        <v>57666</v>
      </c>
      <c r="E16" s="706">
        <f t="shared" si="9"/>
        <v>86599</v>
      </c>
      <c r="F16" s="696">
        <f t="shared" si="9"/>
        <v>1</v>
      </c>
      <c r="G16" s="707">
        <f t="shared" si="9"/>
        <v>2901.8719791871631</v>
      </c>
      <c r="H16" s="698">
        <f t="shared" si="9"/>
        <v>1</v>
      </c>
      <c r="I16" s="707"/>
      <c r="J16" s="696">
        <f>SUM(J12:J15)</f>
        <v>1</v>
      </c>
      <c r="K16" s="707">
        <f>SUM(K12:K15)</f>
        <v>328139.495</v>
      </c>
      <c r="L16" s="698">
        <f>SUM(L12:L15)</f>
        <v>0.99999999999999978</v>
      </c>
      <c r="M16" s="707"/>
      <c r="N16" s="698">
        <f>SUM(N12:N15)</f>
        <v>1.0000000000000002</v>
      </c>
    </row>
    <row r="17" spans="1:16" ht="15.75" thickBot="1" x14ac:dyDescent="0.3"/>
    <row r="18" spans="1:16" x14ac:dyDescent="0.25">
      <c r="A18" s="322">
        <v>51000</v>
      </c>
      <c r="B18" s="318" t="s">
        <v>23</v>
      </c>
      <c r="C18" s="702">
        <v>8581</v>
      </c>
      <c r="D18" s="701">
        <v>21683</v>
      </c>
      <c r="E18" s="701">
        <f>SUM(D18,C18)</f>
        <v>30264</v>
      </c>
      <c r="F18" s="683">
        <f>E18/$E$22</f>
        <v>0.40232375736144532</v>
      </c>
      <c r="O18" s="702">
        <v>17825.267329999999</v>
      </c>
      <c r="P18" s="683">
        <f>O18/$O$22</f>
        <v>0.35230509507731328</v>
      </c>
    </row>
    <row r="19" spans="1:16" x14ac:dyDescent="0.25">
      <c r="A19" s="317">
        <v>52000</v>
      </c>
      <c r="B19" s="319" t="s">
        <v>24</v>
      </c>
      <c r="C19" s="704">
        <v>3090</v>
      </c>
      <c r="D19" s="703">
        <v>8474</v>
      </c>
      <c r="E19" s="703">
        <f>SUM(D19,C19)</f>
        <v>11564</v>
      </c>
      <c r="F19" s="687">
        <f>E19/$E$22</f>
        <v>0.15372957738989404</v>
      </c>
      <c r="G19" s="11"/>
      <c r="H19" s="708"/>
      <c r="I19" s="11"/>
      <c r="J19" s="708"/>
      <c r="K19" s="11"/>
      <c r="L19" s="708"/>
      <c r="O19" s="704">
        <v>2447</v>
      </c>
      <c r="P19" s="687">
        <f t="shared" ref="P19:P21" si="10">O19/$O$22</f>
        <v>4.8363401888693341E-2</v>
      </c>
    </row>
    <row r="20" spans="1:16" x14ac:dyDescent="0.25">
      <c r="A20" s="317">
        <v>53000</v>
      </c>
      <c r="B20" s="319" t="s">
        <v>25</v>
      </c>
      <c r="C20" s="704">
        <v>5571</v>
      </c>
      <c r="D20" s="703">
        <v>14223</v>
      </c>
      <c r="E20" s="703">
        <f>SUM(D20,C20)</f>
        <v>19794</v>
      </c>
      <c r="F20" s="687">
        <f>E20/$E$22</f>
        <v>0.26313760419020776</v>
      </c>
      <c r="G20" s="11"/>
      <c r="H20" s="708"/>
      <c r="I20" s="11"/>
      <c r="J20" s="708"/>
      <c r="K20" s="11"/>
      <c r="L20" s="708"/>
      <c r="O20" s="704">
        <v>26526</v>
      </c>
      <c r="P20" s="687">
        <f t="shared" si="10"/>
        <v>0.5242695539433917</v>
      </c>
    </row>
    <row r="21" spans="1:16" ht="15" customHeight="1" thickBot="1" x14ac:dyDescent="0.3">
      <c r="A21" s="320">
        <v>54000</v>
      </c>
      <c r="B21" s="321" t="s">
        <v>275</v>
      </c>
      <c r="C21" s="710">
        <v>4039</v>
      </c>
      <c r="D21" s="705">
        <v>9562</v>
      </c>
      <c r="E21" s="705">
        <f>SUM(D21,C21)</f>
        <v>13601</v>
      </c>
      <c r="F21" s="694">
        <f>E21/$E$22</f>
        <v>0.18080906105845287</v>
      </c>
      <c r="G21" s="11"/>
      <c r="H21" s="708"/>
      <c r="I21" s="11"/>
      <c r="J21" s="708"/>
      <c r="K21" s="11"/>
      <c r="L21" s="708"/>
      <c r="O21" s="704">
        <v>3797.8426300000001</v>
      </c>
      <c r="P21" s="687">
        <f t="shared" si="10"/>
        <v>7.5061949090601585E-2</v>
      </c>
    </row>
    <row r="22" spans="1:16" ht="15.75" thickBot="1" x14ac:dyDescent="0.3">
      <c r="A22" s="323">
        <v>2022</v>
      </c>
      <c r="B22" s="324" t="s">
        <v>118</v>
      </c>
      <c r="C22" s="707">
        <f t="shared" ref="C22:F22" si="11">SUM(C18:C21)</f>
        <v>21281</v>
      </c>
      <c r="D22" s="706">
        <f t="shared" si="11"/>
        <v>53942</v>
      </c>
      <c r="E22" s="706">
        <f t="shared" si="11"/>
        <v>75223</v>
      </c>
      <c r="F22" s="698">
        <f t="shared" si="11"/>
        <v>0.99999999999999989</v>
      </c>
      <c r="G22" s="11"/>
      <c r="H22" s="708"/>
      <c r="I22" s="11"/>
      <c r="J22" s="708"/>
      <c r="K22" s="11"/>
      <c r="L22" s="708"/>
      <c r="O22" s="707">
        <f>SUM(O18:O21)</f>
        <v>50596.109960000002</v>
      </c>
      <c r="P22" s="698">
        <f>SUM(P18:P21)</f>
        <v>0.99999999999999989</v>
      </c>
    </row>
    <row r="23" spans="1:16" ht="15.75" thickBot="1" x14ac:dyDescent="0.3">
      <c r="G23" s="653"/>
      <c r="H23" s="709"/>
      <c r="I23" s="653"/>
      <c r="J23" s="709"/>
      <c r="K23" s="653"/>
      <c r="L23" s="709"/>
    </row>
    <row r="24" spans="1:16" x14ac:dyDescent="0.25">
      <c r="A24" s="322">
        <v>51000</v>
      </c>
      <c r="B24" s="318" t="s">
        <v>23</v>
      </c>
      <c r="C24" s="701">
        <v>6443</v>
      </c>
      <c r="D24" s="701">
        <v>7509</v>
      </c>
      <c r="E24" s="701">
        <f>C24+D24</f>
        <v>13952</v>
      </c>
      <c r="F24" s="683">
        <f>E24/$E$28</f>
        <v>0.37604441809066896</v>
      </c>
      <c r="O24" s="702">
        <v>18474.29479</v>
      </c>
      <c r="P24" s="683">
        <f>O24/$O$28</f>
        <v>0.3793384099105731</v>
      </c>
    </row>
    <row r="25" spans="1:16" x14ac:dyDescent="0.25">
      <c r="A25" s="317">
        <v>52000</v>
      </c>
      <c r="B25" s="319" t="s">
        <v>24</v>
      </c>
      <c r="C25" s="703">
        <v>701</v>
      </c>
      <c r="D25" s="703">
        <v>1166</v>
      </c>
      <c r="E25" s="703">
        <f>C25+D25</f>
        <v>1867</v>
      </c>
      <c r="F25" s="687">
        <f>E25/$E$28</f>
        <v>5.0320737426553824E-2</v>
      </c>
      <c r="O25" s="704">
        <v>2642</v>
      </c>
      <c r="P25" s="687">
        <f>O25/$O$28</f>
        <v>5.4249003297610267E-2</v>
      </c>
    </row>
    <row r="26" spans="1:16" x14ac:dyDescent="0.25">
      <c r="A26" s="317">
        <v>53000</v>
      </c>
      <c r="B26" s="319" t="s">
        <v>25</v>
      </c>
      <c r="C26" s="703">
        <v>4056</v>
      </c>
      <c r="D26" s="703">
        <v>5897</v>
      </c>
      <c r="E26" s="703">
        <f>C26+D26</f>
        <v>9953</v>
      </c>
      <c r="F26" s="687">
        <f>E26/$E$28</f>
        <v>0.26826047113363161</v>
      </c>
      <c r="O26" s="704">
        <v>22774</v>
      </c>
      <c r="P26" s="687">
        <f>O26/$O$28</f>
        <v>0.46762558709302654</v>
      </c>
    </row>
    <row r="27" spans="1:16" ht="15" customHeight="1" thickBot="1" x14ac:dyDescent="0.3">
      <c r="A27" s="320">
        <v>54000</v>
      </c>
      <c r="B27" s="321" t="s">
        <v>275</v>
      </c>
      <c r="C27" s="705">
        <v>5158</v>
      </c>
      <c r="D27" s="703">
        <v>6172</v>
      </c>
      <c r="E27" s="705">
        <f>C27+D27</f>
        <v>11330</v>
      </c>
      <c r="F27" s="694">
        <f>E27/$E$28</f>
        <v>0.30537437334914558</v>
      </c>
      <c r="O27" s="704">
        <v>4811.0607999999993</v>
      </c>
      <c r="P27" s="687">
        <f>O27/$O$28</f>
        <v>9.8786999698790096E-2</v>
      </c>
    </row>
    <row r="28" spans="1:16" ht="15.75" thickBot="1" x14ac:dyDescent="0.3">
      <c r="A28" s="323">
        <v>2021</v>
      </c>
      <c r="B28" s="324" t="s">
        <v>118</v>
      </c>
      <c r="C28" s="707">
        <f>SUM(C24:C27)</f>
        <v>16358</v>
      </c>
      <c r="D28" s="706">
        <f>SUM(D24:D27)</f>
        <v>20744</v>
      </c>
      <c r="E28" s="706">
        <f>SUM(E24:E27)</f>
        <v>37102</v>
      </c>
      <c r="F28" s="698">
        <f>SUM(F24:F27)</f>
        <v>1</v>
      </c>
      <c r="O28" s="707">
        <f>SUM(O24:O27)</f>
        <v>48701.355589999999</v>
      </c>
      <c r="P28" s="698">
        <f>SUM(P24:P27)</f>
        <v>1</v>
      </c>
    </row>
    <row r="29" spans="1:16" ht="15.75" thickBot="1" x14ac:dyDescent="0.3">
      <c r="I29" s="11"/>
    </row>
    <row r="30" spans="1:16" x14ac:dyDescent="0.25">
      <c r="A30" s="322">
        <v>51000</v>
      </c>
      <c r="B30" s="318" t="s">
        <v>23</v>
      </c>
      <c r="O30" s="702">
        <v>18023.29852</v>
      </c>
      <c r="P30" s="683">
        <f>O30/$O$34</f>
        <v>0.42911052825868617</v>
      </c>
    </row>
    <row r="31" spans="1:16" x14ac:dyDescent="0.25">
      <c r="A31" s="317">
        <v>52000</v>
      </c>
      <c r="B31" s="319" t="s">
        <v>24</v>
      </c>
      <c r="O31" s="704">
        <v>2088</v>
      </c>
      <c r="P31" s="687">
        <f>O31/$O$34</f>
        <v>4.9712475327969921E-2</v>
      </c>
    </row>
    <row r="32" spans="1:16" x14ac:dyDescent="0.25">
      <c r="A32" s="317">
        <v>53000</v>
      </c>
      <c r="B32" s="319" t="s">
        <v>25</v>
      </c>
      <c r="O32" s="704">
        <v>17892</v>
      </c>
      <c r="P32" s="687">
        <f>O32/$O$34</f>
        <v>0.42598448686208706</v>
      </c>
    </row>
    <row r="33" spans="1:16" ht="15" customHeight="1" thickBot="1" x14ac:dyDescent="0.3">
      <c r="A33" s="320">
        <v>54000</v>
      </c>
      <c r="B33" s="321" t="s">
        <v>275</v>
      </c>
      <c r="O33" s="704">
        <v>3998.2309999999998</v>
      </c>
      <c r="P33" s="687">
        <f>O33/$O$34</f>
        <v>9.5192509551256937E-2</v>
      </c>
    </row>
    <row r="34" spans="1:16" ht="15.75" thickBot="1" x14ac:dyDescent="0.3">
      <c r="A34" s="323">
        <v>2020</v>
      </c>
      <c r="B34" s="324" t="s">
        <v>118</v>
      </c>
      <c r="O34" s="707">
        <f>SUM(O30:O33)</f>
        <v>42001.529519999996</v>
      </c>
      <c r="P34" s="698">
        <f>SUM(P30:P33)</f>
        <v>1</v>
      </c>
    </row>
    <row r="36" spans="1:16" x14ac:dyDescent="0.25">
      <c r="A36" s="609" t="s">
        <v>252</v>
      </c>
    </row>
    <row r="37" spans="1:16" x14ac:dyDescent="0.25">
      <c r="A37" s="38"/>
    </row>
  </sheetData>
  <mergeCells count="12">
    <mergeCell ref="G4:H4"/>
    <mergeCell ref="I4:J4"/>
    <mergeCell ref="A10:B10"/>
    <mergeCell ref="A3:B3"/>
    <mergeCell ref="A4:A5"/>
    <mergeCell ref="B4:B5"/>
    <mergeCell ref="C4:F4"/>
    <mergeCell ref="K4:L4"/>
    <mergeCell ref="M4:N4"/>
    <mergeCell ref="O4:P4"/>
    <mergeCell ref="Q4:Q5"/>
    <mergeCell ref="R4:R5"/>
  </mergeCells>
  <hyperlinks>
    <hyperlink ref="A36" location="'0 Seznam'!A1" display="Seznam" xr:uid="{87D77322-34EF-4561-9C6A-088FAD5BE130}"/>
  </hyperlinks>
  <pageMargins left="0.70866141732283472" right="0.70866141732283472" top="0.78740157480314965" bottom="0.78740157480314965" header="0.31496062992125984" footer="0.31496062992125984"/>
  <pageSetup paperSize="9" scale="73" orientation="landscape" r:id="rId1"/>
  <headerFooter>
    <oddHeader xml:space="preserve">&amp;LČ. j.:999/2024-1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D966"/>
  </sheetPr>
  <dimension ref="A1:J22"/>
  <sheetViews>
    <sheetView zoomScale="85" zoomScaleNormal="85" workbookViewId="0">
      <selection activeCell="B28" sqref="B28"/>
    </sheetView>
  </sheetViews>
  <sheetFormatPr defaultRowHeight="15" x14ac:dyDescent="0.25"/>
  <cols>
    <col min="1" max="1" width="10.5703125" customWidth="1"/>
    <col min="2" max="2" width="61.5703125" bestFit="1" customWidth="1"/>
    <col min="3" max="8" width="11" customWidth="1"/>
    <col min="9" max="10" width="15.85546875" customWidth="1"/>
  </cols>
  <sheetData>
    <row r="1" spans="1:10" ht="27.75" x14ac:dyDescent="0.25">
      <c r="A1" s="308" t="s">
        <v>312</v>
      </c>
    </row>
    <row r="2" spans="1:10" ht="15.75" thickBot="1" x14ac:dyDescent="0.3"/>
    <row r="3" spans="1:10" ht="15.75" customHeight="1" thickBot="1" x14ac:dyDescent="0.3">
      <c r="A3" s="961" t="s">
        <v>107</v>
      </c>
      <c r="B3" s="962"/>
      <c r="C3" s="309"/>
      <c r="D3" s="675">
        <v>0.4</v>
      </c>
      <c r="E3" s="309"/>
      <c r="F3" s="675">
        <v>0.2</v>
      </c>
      <c r="G3" s="309"/>
      <c r="H3" s="310">
        <v>0.4</v>
      </c>
      <c r="I3" s="711">
        <f>SUM(D3:H3)</f>
        <v>1</v>
      </c>
      <c r="J3" s="679">
        <v>1.3155031502482598E-2</v>
      </c>
    </row>
    <row r="4" spans="1:10" ht="30" customHeight="1" x14ac:dyDescent="0.25">
      <c r="A4" s="963" t="s">
        <v>2</v>
      </c>
      <c r="B4" s="965" t="s">
        <v>3</v>
      </c>
      <c r="C4" s="955" t="s">
        <v>119</v>
      </c>
      <c r="D4" s="956"/>
      <c r="E4" s="955" t="s">
        <v>108</v>
      </c>
      <c r="F4" s="956"/>
      <c r="G4" s="955" t="s">
        <v>120</v>
      </c>
      <c r="H4" s="972"/>
      <c r="I4" s="957" t="s">
        <v>113</v>
      </c>
      <c r="J4" s="957" t="s">
        <v>114</v>
      </c>
    </row>
    <row r="5" spans="1:10" ht="15.75" thickBot="1" x14ac:dyDescent="0.3">
      <c r="A5" s="964"/>
      <c r="B5" s="966"/>
      <c r="C5" s="315" t="s">
        <v>28</v>
      </c>
      <c r="D5" s="316" t="s">
        <v>117</v>
      </c>
      <c r="E5" s="325" t="s">
        <v>115</v>
      </c>
      <c r="F5" s="314" t="s">
        <v>117</v>
      </c>
      <c r="G5" s="315" t="s">
        <v>28</v>
      </c>
      <c r="H5" s="326" t="s">
        <v>117</v>
      </c>
      <c r="I5" s="958"/>
      <c r="J5" s="958"/>
    </row>
    <row r="6" spans="1:10" x14ac:dyDescent="0.25">
      <c r="A6" s="327">
        <v>55000</v>
      </c>
      <c r="B6" s="328" t="s">
        <v>26</v>
      </c>
      <c r="C6" s="712"/>
      <c r="D6" s="713">
        <f>D10</f>
        <v>0.56985093874002757</v>
      </c>
      <c r="E6" s="712"/>
      <c r="F6" s="713">
        <f>0.5*F10+0.3*F14+0.2*F18</f>
        <v>0.21017388481753219</v>
      </c>
      <c r="G6" s="712"/>
      <c r="H6" s="714">
        <f>H10</f>
        <v>0.52473835931428692</v>
      </c>
      <c r="I6" s="715">
        <f t="array" ref="I6">SUM($C$3:$H$3*C6:H6)</f>
        <v>0.47987049618523225</v>
      </c>
      <c r="J6" s="715">
        <f>I6*$J$3</f>
        <v>6.3127114944286859E-3</v>
      </c>
    </row>
    <row r="7" spans="1:10" ht="15" customHeight="1" thickBot="1" x14ac:dyDescent="0.3">
      <c r="A7" s="329">
        <v>56000</v>
      </c>
      <c r="B7" s="330" t="s">
        <v>27</v>
      </c>
      <c r="C7" s="716"/>
      <c r="D7" s="717">
        <f>D11</f>
        <v>0.43014906125997243</v>
      </c>
      <c r="E7" s="718"/>
      <c r="F7" s="719">
        <f>0.5*F11+0.3*F15+0.2*F19</f>
        <v>0.78982611518246781</v>
      </c>
      <c r="G7" s="716"/>
      <c r="H7" s="720">
        <f>H11</f>
        <v>0.47526164068571297</v>
      </c>
      <c r="I7" s="721">
        <f t="array" ref="I7">SUM($C$3:$H$3*C7:H7)</f>
        <v>0.52012950381476775</v>
      </c>
      <c r="J7" s="721">
        <f>I7*$J$3</f>
        <v>6.8423200080539124E-3</v>
      </c>
    </row>
    <row r="8" spans="1:10" ht="15.75" thickBot="1" x14ac:dyDescent="0.3">
      <c r="A8" s="970" t="s">
        <v>118</v>
      </c>
      <c r="B8" s="971"/>
      <c r="C8" s="722"/>
      <c r="D8" s="723">
        <f>SUM(D6:D7)</f>
        <v>1</v>
      </c>
      <c r="E8" s="724"/>
      <c r="F8" s="725">
        <f>SUM(F6:F7)</f>
        <v>1</v>
      </c>
      <c r="G8" s="722"/>
      <c r="H8" s="725">
        <f>SUM(H6:H7)</f>
        <v>0.99999999999999989</v>
      </c>
      <c r="I8" s="726">
        <f>SUM(I6:I7)</f>
        <v>1</v>
      </c>
      <c r="J8" s="726">
        <f>SUM(J6:J7)</f>
        <v>1.3155031502482598E-2</v>
      </c>
    </row>
    <row r="9" spans="1:10" ht="15.75" thickBot="1" x14ac:dyDescent="0.3">
      <c r="C9" s="11"/>
      <c r="E9" s="11"/>
      <c r="G9" s="11"/>
    </row>
    <row r="10" spans="1:10" x14ac:dyDescent="0.25">
      <c r="A10" s="331">
        <v>55000</v>
      </c>
      <c r="B10" s="328" t="s">
        <v>26</v>
      </c>
      <c r="C10" s="712">
        <v>894.35504407443682</v>
      </c>
      <c r="D10" s="713">
        <f>C10/$C$12</f>
        <v>0.56985093874002757</v>
      </c>
      <c r="E10" s="712">
        <v>2526</v>
      </c>
      <c r="F10" s="713">
        <f>E10/$E$12</f>
        <v>0.20667648502700048</v>
      </c>
      <c r="G10" s="712">
        <v>503.45269216644465</v>
      </c>
      <c r="H10" s="713">
        <f>G10/$G$12</f>
        <v>0.52473835931428692</v>
      </c>
    </row>
    <row r="11" spans="1:10" ht="15" customHeight="1" thickBot="1" x14ac:dyDescent="0.3">
      <c r="A11" s="329">
        <v>56000</v>
      </c>
      <c r="B11" s="330" t="s">
        <v>27</v>
      </c>
      <c r="C11" s="716">
        <v>675.09932245149366</v>
      </c>
      <c r="D11" s="717">
        <f>C11/$C$12</f>
        <v>0.43014906125997243</v>
      </c>
      <c r="E11" s="718">
        <v>9696</v>
      </c>
      <c r="F11" s="719">
        <f>E11/$E$12</f>
        <v>0.79332351497299947</v>
      </c>
      <c r="G11" s="716">
        <v>455.98296415634098</v>
      </c>
      <c r="H11" s="717">
        <f>G11/$G$12</f>
        <v>0.47526164068571297</v>
      </c>
      <c r="J11" s="656"/>
    </row>
    <row r="12" spans="1:10" ht="15.75" thickBot="1" x14ac:dyDescent="0.3">
      <c r="A12" s="332">
        <v>2023</v>
      </c>
      <c r="B12" s="333" t="s">
        <v>118</v>
      </c>
      <c r="C12" s="722">
        <f t="shared" ref="C12:H12" si="0">SUM(C10:C11)</f>
        <v>1569.4543665259305</v>
      </c>
      <c r="D12" s="723">
        <f t="shared" si="0"/>
        <v>1</v>
      </c>
      <c r="E12" s="724">
        <f t="shared" si="0"/>
        <v>12222</v>
      </c>
      <c r="F12" s="725">
        <f t="shared" si="0"/>
        <v>1</v>
      </c>
      <c r="G12" s="722">
        <f t="shared" si="0"/>
        <v>959.43565632278569</v>
      </c>
      <c r="H12" s="723">
        <f t="shared" si="0"/>
        <v>0.99999999999999989</v>
      </c>
      <c r="J12" s="656"/>
    </row>
    <row r="13" spans="1:10" ht="15.75" thickBot="1" x14ac:dyDescent="0.3">
      <c r="C13" s="11"/>
      <c r="E13" s="11"/>
      <c r="G13" s="11"/>
    </row>
    <row r="14" spans="1:10" x14ac:dyDescent="0.25">
      <c r="A14" s="331">
        <v>55000</v>
      </c>
      <c r="B14" s="328" t="s">
        <v>26</v>
      </c>
      <c r="C14" s="11"/>
      <c r="E14" s="712">
        <v>2811</v>
      </c>
      <c r="F14" s="713">
        <f>E14/$E$16</f>
        <v>0.23423048079326722</v>
      </c>
      <c r="G14" s="11"/>
    </row>
    <row r="15" spans="1:10" ht="15" customHeight="1" thickBot="1" x14ac:dyDescent="0.3">
      <c r="A15" s="329">
        <v>56000</v>
      </c>
      <c r="B15" s="330" t="s">
        <v>27</v>
      </c>
      <c r="E15" s="718">
        <v>9190</v>
      </c>
      <c r="F15" s="719">
        <f>E15/$E$16</f>
        <v>0.76576951920673275</v>
      </c>
    </row>
    <row r="16" spans="1:10" ht="15.75" thickBot="1" x14ac:dyDescent="0.3">
      <c r="A16" s="332">
        <v>2022</v>
      </c>
      <c r="B16" s="333" t="s">
        <v>118</v>
      </c>
      <c r="C16" s="727"/>
      <c r="D16" s="708"/>
      <c r="E16" s="722">
        <f t="shared" ref="E16:F16" si="1">SUM(E14:E15)</f>
        <v>12001</v>
      </c>
      <c r="F16" s="723">
        <f t="shared" si="1"/>
        <v>1</v>
      </c>
      <c r="H16" s="708"/>
    </row>
    <row r="17" spans="1:8" ht="15.75" thickBot="1" x14ac:dyDescent="0.3">
      <c r="C17" s="727"/>
      <c r="D17" s="708"/>
      <c r="E17" s="11"/>
      <c r="H17" s="708"/>
    </row>
    <row r="18" spans="1:8" x14ac:dyDescent="0.25">
      <c r="A18" s="331">
        <v>55000</v>
      </c>
      <c r="B18" s="328" t="s">
        <v>26</v>
      </c>
      <c r="C18" s="728"/>
      <c r="D18" s="709"/>
      <c r="E18" s="712">
        <v>1229</v>
      </c>
      <c r="F18" s="713">
        <f>E18/$E$20</f>
        <v>0.18283249033025886</v>
      </c>
      <c r="G18" s="652"/>
      <c r="H18" s="709"/>
    </row>
    <row r="19" spans="1:8" ht="15" customHeight="1" thickBot="1" x14ac:dyDescent="0.3">
      <c r="A19" s="329">
        <v>56000</v>
      </c>
      <c r="B19" s="330" t="s">
        <v>27</v>
      </c>
      <c r="E19" s="718">
        <v>5493</v>
      </c>
      <c r="F19" s="719">
        <f>E19/$E$20</f>
        <v>0.81716750966974117</v>
      </c>
    </row>
    <row r="20" spans="1:8" ht="15.75" thickBot="1" x14ac:dyDescent="0.3">
      <c r="A20" s="332">
        <v>2021</v>
      </c>
      <c r="B20" s="333" t="s">
        <v>118</v>
      </c>
      <c r="E20" s="722">
        <f>SUM(E18:E19)</f>
        <v>6722</v>
      </c>
      <c r="F20" s="723">
        <f>SUM(F18:F19)</f>
        <v>1</v>
      </c>
    </row>
    <row r="21" spans="1:8" x14ac:dyDescent="0.25">
      <c r="E21" s="11"/>
    </row>
    <row r="22" spans="1:8" x14ac:dyDescent="0.25">
      <c r="A22" s="609" t="s">
        <v>252</v>
      </c>
    </row>
  </sheetData>
  <mergeCells count="9">
    <mergeCell ref="I4:I5"/>
    <mergeCell ref="J4:J5"/>
    <mergeCell ref="A8:B8"/>
    <mergeCell ref="A3:B3"/>
    <mergeCell ref="A4:A5"/>
    <mergeCell ref="B4:B5"/>
    <mergeCell ref="C4:D4"/>
    <mergeCell ref="E4:F4"/>
    <mergeCell ref="G4:H4"/>
  </mergeCells>
  <hyperlinks>
    <hyperlink ref="A22" location="'0 Seznam'!A1" display="Seznam" xr:uid="{A4AD7EA4-0C3C-410A-A1FB-CAAE41A0B074}"/>
  </hyperlinks>
  <pageMargins left="0.70866141732283472" right="0.70866141732283472" top="0.78740157480314965" bottom="0.78740157480314965" header="0.31496062992125984" footer="0.31496062992125984"/>
  <pageSetup paperSize="9" scale="73" orientation="landscape" r:id="rId1"/>
  <headerFooter>
    <oddHeader xml:space="preserve">&amp;LČ. j.:999/2024-1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4B084"/>
  </sheetPr>
  <dimension ref="A1:V91"/>
  <sheetViews>
    <sheetView zoomScale="85" zoomScaleNormal="85" workbookViewId="0">
      <selection activeCell="B28" sqref="B28"/>
    </sheetView>
  </sheetViews>
  <sheetFormatPr defaultRowHeight="15" x14ac:dyDescent="0.25"/>
  <cols>
    <col min="1" max="1" width="10.5703125" customWidth="1"/>
    <col min="2" max="2" width="52.28515625" customWidth="1"/>
    <col min="3" max="20" width="10.85546875" customWidth="1"/>
    <col min="21" max="22" width="15.7109375" customWidth="1"/>
  </cols>
  <sheetData>
    <row r="1" spans="1:22" ht="27.75" x14ac:dyDescent="0.25">
      <c r="A1" s="308" t="s">
        <v>313</v>
      </c>
    </row>
    <row r="2" spans="1:22" ht="15.75" thickBot="1" x14ac:dyDescent="0.3"/>
    <row r="3" spans="1:22" ht="15.75" customHeight="1" thickBot="1" x14ac:dyDescent="0.3">
      <c r="A3" s="961" t="s">
        <v>107</v>
      </c>
      <c r="B3" s="962"/>
      <c r="C3" s="309"/>
      <c r="D3" s="677">
        <v>0.15</v>
      </c>
      <c r="E3" s="676"/>
      <c r="F3" s="729"/>
      <c r="G3" s="729"/>
      <c r="H3" s="677">
        <v>0.22</v>
      </c>
      <c r="I3" s="676"/>
      <c r="J3" s="677">
        <v>0.1</v>
      </c>
      <c r="K3" s="676"/>
      <c r="L3" s="677">
        <v>0.3</v>
      </c>
      <c r="M3" s="676"/>
      <c r="N3" s="677">
        <v>0.03</v>
      </c>
      <c r="O3" s="676"/>
      <c r="P3" s="677">
        <v>3.5000000000000003E-2</v>
      </c>
      <c r="Q3" s="676"/>
      <c r="R3" s="677">
        <v>6.5000000000000002E-2</v>
      </c>
      <c r="S3" s="676"/>
      <c r="T3" s="677">
        <v>0.1</v>
      </c>
      <c r="U3" s="730">
        <f>SUM(C3:T3)</f>
        <v>1.0000000000000002</v>
      </c>
      <c r="V3" s="679">
        <v>0.38670456807660647</v>
      </c>
    </row>
    <row r="4" spans="1:22" ht="30" customHeight="1" x14ac:dyDescent="0.25">
      <c r="A4" s="963" t="s">
        <v>2</v>
      </c>
      <c r="B4" s="965" t="s">
        <v>3</v>
      </c>
      <c r="C4" s="955" t="s">
        <v>119</v>
      </c>
      <c r="D4" s="956"/>
      <c r="E4" s="976" t="s">
        <v>108</v>
      </c>
      <c r="F4" s="977"/>
      <c r="G4" s="977"/>
      <c r="H4" s="978"/>
      <c r="I4" s="955" t="s">
        <v>109</v>
      </c>
      <c r="J4" s="956"/>
      <c r="K4" s="963" t="s">
        <v>110</v>
      </c>
      <c r="L4" s="975"/>
      <c r="M4" s="963" t="s">
        <v>111</v>
      </c>
      <c r="N4" s="975"/>
      <c r="O4" s="963" t="s">
        <v>162</v>
      </c>
      <c r="P4" s="975"/>
      <c r="Q4" s="963" t="s">
        <v>112</v>
      </c>
      <c r="R4" s="975"/>
      <c r="S4" s="963" t="s">
        <v>121</v>
      </c>
      <c r="T4" s="975"/>
      <c r="U4" s="957" t="s">
        <v>113</v>
      </c>
      <c r="V4" s="957" t="s">
        <v>114</v>
      </c>
    </row>
    <row r="5" spans="1:22" ht="15.75" thickBot="1" x14ac:dyDescent="0.3">
      <c r="A5" s="964"/>
      <c r="B5" s="966"/>
      <c r="C5" s="315" t="s">
        <v>28</v>
      </c>
      <c r="D5" s="316" t="s">
        <v>117</v>
      </c>
      <c r="E5" s="311" t="s">
        <v>115</v>
      </c>
      <c r="F5" s="312" t="s">
        <v>116</v>
      </c>
      <c r="G5" s="313" t="s">
        <v>28</v>
      </c>
      <c r="H5" s="314" t="s">
        <v>117</v>
      </c>
      <c r="I5" s="315" t="s">
        <v>28</v>
      </c>
      <c r="J5" s="316" t="s">
        <v>117</v>
      </c>
      <c r="K5" s="315" t="s">
        <v>28</v>
      </c>
      <c r="L5" s="316" t="s">
        <v>117</v>
      </c>
      <c r="M5" s="315" t="s">
        <v>28</v>
      </c>
      <c r="N5" s="316" t="s">
        <v>117</v>
      </c>
      <c r="O5" s="315" t="s">
        <v>28</v>
      </c>
      <c r="P5" s="316" t="s">
        <v>117</v>
      </c>
      <c r="Q5" s="315" t="s">
        <v>28</v>
      </c>
      <c r="R5" s="316" t="s">
        <v>117</v>
      </c>
      <c r="S5" s="315" t="s">
        <v>28</v>
      </c>
      <c r="T5" s="316" t="s">
        <v>117</v>
      </c>
      <c r="U5" s="958"/>
      <c r="V5" s="958"/>
    </row>
    <row r="6" spans="1:22" x14ac:dyDescent="0.25">
      <c r="A6" s="334">
        <v>12000</v>
      </c>
      <c r="B6" s="335" t="s">
        <v>5</v>
      </c>
      <c r="C6" s="731"/>
      <c r="D6" s="732">
        <f>D23</f>
        <v>7.5378661740770236E-2</v>
      </c>
      <c r="E6" s="731"/>
      <c r="F6" s="733"/>
      <c r="G6" s="734"/>
      <c r="H6" s="732">
        <f>0.5*H23+0.3*H40+0.2*H57</f>
        <v>4.2447920044011891E-2</v>
      </c>
      <c r="I6" s="731"/>
      <c r="J6" s="732">
        <f>J23</f>
        <v>7.2533487845733949E-2</v>
      </c>
      <c r="K6" s="731"/>
      <c r="L6" s="735">
        <f>L23</f>
        <v>9.9223592104218147E-2</v>
      </c>
      <c r="M6" s="731"/>
      <c r="N6" s="732">
        <f>N23</f>
        <v>1.728823201558936E-2</v>
      </c>
      <c r="O6" s="731"/>
      <c r="P6" s="735">
        <f>P23</f>
        <v>4.4159042730109552E-2</v>
      </c>
      <c r="Q6" s="731"/>
      <c r="R6" s="732">
        <f>0.5*R40+0.3*R57+0.2*R74</f>
        <v>8.8508179292658973E-2</v>
      </c>
      <c r="S6" s="731"/>
      <c r="T6" s="732">
        <f>0.5*T40+0.3*T57+0.2*T74</f>
        <v>9.3304947004883787E-2</v>
      </c>
      <c r="U6" s="736">
        <f t="array" ref="U6">SUM($C$3:$T$3*C6:T6)</f>
        <v>7.4813507897169715E-2</v>
      </c>
      <c r="V6" s="737">
        <f>U6*$V$3</f>
        <v>2.8930725257670802E-2</v>
      </c>
    </row>
    <row r="7" spans="1:22" ht="15" customHeight="1" x14ac:dyDescent="0.25">
      <c r="A7" s="334">
        <v>13000</v>
      </c>
      <c r="B7" s="336" t="s">
        <v>6</v>
      </c>
      <c r="C7" s="738"/>
      <c r="D7" s="739">
        <f t="shared" ref="D7:D20" si="0">D24</f>
        <v>5.0424090066414858E-2</v>
      </c>
      <c r="E7" s="733"/>
      <c r="F7" s="733"/>
      <c r="G7" s="733"/>
      <c r="H7" s="739">
        <f t="shared" ref="H7:H20" si="1">0.5*H24+0.3*H41+0.2*H58</f>
        <v>2.7960913984971067E-2</v>
      </c>
      <c r="I7" s="738"/>
      <c r="J7" s="739">
        <f t="shared" ref="J7:J20" si="2">J24</f>
        <v>5.7488684466368511E-2</v>
      </c>
      <c r="K7" s="738"/>
      <c r="L7" s="740">
        <f t="shared" ref="L7:L20" si="3">L24</f>
        <v>2.5495207469606398E-2</v>
      </c>
      <c r="M7" s="738"/>
      <c r="N7" s="739">
        <f t="shared" ref="N7:N20" si="4">N24</f>
        <v>0.14883407467313653</v>
      </c>
      <c r="O7" s="738"/>
      <c r="P7" s="740">
        <f t="shared" ref="P7:P20" si="5">P24</f>
        <v>2.4573467712170325E-3</v>
      </c>
      <c r="Q7" s="738"/>
      <c r="R7" s="739">
        <f t="shared" ref="R7:T20" si="6">0.5*R41+0.3*R58+0.2*R75</f>
        <v>1.9822754422398253E-2</v>
      </c>
      <c r="S7" s="738"/>
      <c r="T7" s="739">
        <f t="shared" si="6"/>
        <v>3.2371934857860357E-2</v>
      </c>
      <c r="U7" s="741">
        <f t="array" ref="U7">SUM($C$3:$T$3*C7:T7)</f>
        <v>3.6189147174603253E-2</v>
      </c>
      <c r="V7" s="742">
        <f t="shared" ref="V7:V20" si="7">U7*$V$3</f>
        <v>1.3994508527215694E-2</v>
      </c>
    </row>
    <row r="8" spans="1:22" x14ac:dyDescent="0.25">
      <c r="A8" s="334">
        <v>16000</v>
      </c>
      <c r="B8" s="336" t="s">
        <v>267</v>
      </c>
      <c r="C8" s="738"/>
      <c r="D8" s="739">
        <f t="shared" si="0"/>
        <v>2.1301815147292187E-2</v>
      </c>
      <c r="E8" s="733"/>
      <c r="F8" s="733"/>
      <c r="G8" s="733"/>
      <c r="H8" s="740">
        <f t="shared" si="1"/>
        <v>8.2615852218304794E-3</v>
      </c>
      <c r="I8" s="738"/>
      <c r="J8" s="739">
        <f t="shared" si="2"/>
        <v>3.3114047931969447E-2</v>
      </c>
      <c r="K8" s="738"/>
      <c r="L8" s="740">
        <f t="shared" si="3"/>
        <v>2.0704295737625909E-2</v>
      </c>
      <c r="M8" s="738"/>
      <c r="N8" s="739">
        <f t="shared" si="4"/>
        <v>0</v>
      </c>
      <c r="O8" s="738"/>
      <c r="P8" s="740">
        <f t="shared" si="5"/>
        <v>6.249358605502861E-2</v>
      </c>
      <c r="Q8" s="738"/>
      <c r="R8" s="739">
        <f t="shared" si="6"/>
        <v>1.3037392520493025E-2</v>
      </c>
      <c r="S8" s="738"/>
      <c r="T8" s="739">
        <f t="shared" si="6"/>
        <v>2.8747756522218216E-2</v>
      </c>
      <c r="U8" s="742">
        <f t="array" ref="U8">SUM($C$3:$T$3*C8:T8)</f>
        <v>2.0444996213361117E-2</v>
      </c>
      <c r="V8" s="742">
        <f t="shared" si="7"/>
        <v>7.9061734300156662E-3</v>
      </c>
    </row>
    <row r="9" spans="1:22" x14ac:dyDescent="0.25">
      <c r="A9" s="334">
        <v>17000</v>
      </c>
      <c r="B9" s="336" t="s">
        <v>9</v>
      </c>
      <c r="C9" s="738"/>
      <c r="D9" s="739">
        <f t="shared" si="0"/>
        <v>7.4889818997891044E-2</v>
      </c>
      <c r="E9" s="733"/>
      <c r="F9" s="733"/>
      <c r="G9" s="733"/>
      <c r="H9" s="740">
        <f t="shared" si="1"/>
        <v>6.5343047187359921E-2</v>
      </c>
      <c r="I9" s="738"/>
      <c r="J9" s="739">
        <f t="shared" si="2"/>
        <v>8.2565327871259656E-2</v>
      </c>
      <c r="K9" s="738"/>
      <c r="L9" s="740">
        <f t="shared" si="3"/>
        <v>5.3774124265468598E-2</v>
      </c>
      <c r="M9" s="738"/>
      <c r="N9" s="739">
        <f t="shared" si="4"/>
        <v>0.16448026690189216</v>
      </c>
      <c r="O9" s="738"/>
      <c r="P9" s="740">
        <f t="shared" si="5"/>
        <v>5.2600090456691381E-2</v>
      </c>
      <c r="Q9" s="738"/>
      <c r="R9" s="739">
        <f t="shared" si="6"/>
        <v>3.4637671790363075E-2</v>
      </c>
      <c r="S9" s="738"/>
      <c r="T9" s="739">
        <f t="shared" si="6"/>
        <v>8.5128948282378547E-2</v>
      </c>
      <c r="U9" s="741">
        <f t="array" ref="U9">SUM($C$3:$T$3*C9:T9)</f>
        <v>6.7537467965321812E-2</v>
      </c>
      <c r="V9" s="742">
        <f t="shared" si="7"/>
        <v>2.6117047378517416E-2</v>
      </c>
    </row>
    <row r="10" spans="1:22" x14ac:dyDescent="0.25">
      <c r="A10" s="334">
        <v>18000</v>
      </c>
      <c r="B10" s="336" t="s">
        <v>10</v>
      </c>
      <c r="C10" s="738"/>
      <c r="D10" s="739">
        <f t="shared" si="0"/>
        <v>4.7587420427834454E-2</v>
      </c>
      <c r="E10" s="733"/>
      <c r="F10" s="733"/>
      <c r="G10" s="733"/>
      <c r="H10" s="740">
        <f t="shared" si="1"/>
        <v>9.0967873725503079E-2</v>
      </c>
      <c r="I10" s="738"/>
      <c r="J10" s="739">
        <f t="shared" si="2"/>
        <v>4.99683635801563E-2</v>
      </c>
      <c r="K10" s="738"/>
      <c r="L10" s="740">
        <f t="shared" si="3"/>
        <v>2.5306910313813605E-2</v>
      </c>
      <c r="M10" s="738"/>
      <c r="N10" s="739">
        <f t="shared" si="4"/>
        <v>5.0492293059185303E-2</v>
      </c>
      <c r="O10" s="738"/>
      <c r="P10" s="740">
        <f t="shared" si="5"/>
        <v>6.9530578784528473E-3</v>
      </c>
      <c r="Q10" s="738"/>
      <c r="R10" s="739">
        <f t="shared" si="6"/>
        <v>3.440451833393366E-2</v>
      </c>
      <c r="S10" s="738"/>
      <c r="T10" s="739">
        <f t="shared" si="6"/>
        <v>5.338558919005397E-2</v>
      </c>
      <c r="U10" s="741">
        <f t="array" ref="U10">SUM($C$3:$T$3*C10:T10)</f>
        <v>4.9072933164178052E-2</v>
      </c>
      <c r="V10" s="742">
        <f t="shared" si="7"/>
        <v>1.8976727423505649E-2</v>
      </c>
    </row>
    <row r="11" spans="1:22" x14ac:dyDescent="0.25">
      <c r="A11" s="334">
        <v>19000</v>
      </c>
      <c r="B11" s="336" t="s">
        <v>11</v>
      </c>
      <c r="C11" s="738"/>
      <c r="D11" s="739">
        <f t="shared" si="0"/>
        <v>3.2053071982403071E-2</v>
      </c>
      <c r="E11" s="733"/>
      <c r="F11" s="733"/>
      <c r="G11" s="733"/>
      <c r="H11" s="740">
        <f t="shared" si="1"/>
        <v>1.2154205356953071E-2</v>
      </c>
      <c r="I11" s="738"/>
      <c r="J11" s="739">
        <f t="shared" si="2"/>
        <v>3.3071174867725449E-2</v>
      </c>
      <c r="K11" s="738"/>
      <c r="L11" s="740">
        <f t="shared" si="3"/>
        <v>2.5228523205823344E-2</v>
      </c>
      <c r="M11" s="738"/>
      <c r="N11" s="739">
        <f t="shared" si="4"/>
        <v>8.9362482982637256E-2</v>
      </c>
      <c r="O11" s="738"/>
      <c r="P11" s="740">
        <f t="shared" si="5"/>
        <v>6.847877879668578E-3</v>
      </c>
      <c r="Q11" s="738"/>
      <c r="R11" s="739">
        <f t="shared" si="6"/>
        <v>5.7413503654684464E-3</v>
      </c>
      <c r="S11" s="738"/>
      <c r="T11" s="739">
        <f t="shared" si="6"/>
        <v>3.8052299789827132E-2</v>
      </c>
      <c r="U11" s="741">
        <f t="array" ref="U11">SUM($C$3:$T$3*C11:T11)</f>
        <v>2.5456528392415363E-2</v>
      </c>
      <c r="V11" s="742">
        <f t="shared" si="7"/>
        <v>9.8441558167188525E-3</v>
      </c>
    </row>
    <row r="12" spans="1:22" x14ac:dyDescent="0.25">
      <c r="A12" s="334">
        <v>22000</v>
      </c>
      <c r="B12" s="336" t="s">
        <v>13</v>
      </c>
      <c r="C12" s="738"/>
      <c r="D12" s="739">
        <f t="shared" si="0"/>
        <v>4.0512294991233537E-2</v>
      </c>
      <c r="E12" s="733"/>
      <c r="F12" s="733"/>
      <c r="G12" s="733"/>
      <c r="H12" s="740">
        <f t="shared" si="1"/>
        <v>5.2498829373662931E-2</v>
      </c>
      <c r="I12" s="738"/>
      <c r="J12" s="739">
        <f t="shared" si="2"/>
        <v>4.720398712348238E-2</v>
      </c>
      <c r="K12" s="738"/>
      <c r="L12" s="740">
        <f t="shared" si="3"/>
        <v>0.14088408479597478</v>
      </c>
      <c r="M12" s="738"/>
      <c r="N12" s="739">
        <f t="shared" si="4"/>
        <v>1.5838203052571057E-3</v>
      </c>
      <c r="O12" s="738"/>
      <c r="P12" s="740">
        <f t="shared" si="5"/>
        <v>2.9220948456259867E-2</v>
      </c>
      <c r="Q12" s="738"/>
      <c r="R12" s="739">
        <f t="shared" si="6"/>
        <v>0.19148044079808674</v>
      </c>
      <c r="S12" s="738"/>
      <c r="T12" s="739">
        <f t="shared" si="6"/>
        <v>9.9842715830735895E-2</v>
      </c>
      <c r="U12" s="741">
        <f t="array" ref="U12">SUM($C$3:$T$3*C12:T12)</f>
        <v>8.8112958902107574E-2</v>
      </c>
      <c r="V12" s="742">
        <f t="shared" si="7"/>
        <v>3.407368371419129E-2</v>
      </c>
    </row>
    <row r="13" spans="1:22" x14ac:dyDescent="0.25">
      <c r="A13" s="334">
        <v>23000</v>
      </c>
      <c r="B13" s="336" t="s">
        <v>14</v>
      </c>
      <c r="C13" s="738"/>
      <c r="D13" s="739">
        <f t="shared" si="0"/>
        <v>8.8577309078531341E-2</v>
      </c>
      <c r="E13" s="733"/>
      <c r="F13" s="733"/>
      <c r="G13" s="733"/>
      <c r="H13" s="740">
        <f t="shared" si="1"/>
        <v>7.2832070254680165E-2</v>
      </c>
      <c r="I13" s="738"/>
      <c r="J13" s="739">
        <f t="shared" si="2"/>
        <v>9.2541962808335099E-2</v>
      </c>
      <c r="K13" s="738"/>
      <c r="L13" s="740">
        <f t="shared" si="3"/>
        <v>0.10460496507553756</v>
      </c>
      <c r="M13" s="738"/>
      <c r="N13" s="739">
        <f t="shared" si="4"/>
        <v>0.23372547362506849</v>
      </c>
      <c r="O13" s="738"/>
      <c r="P13" s="740">
        <f t="shared" si="5"/>
        <v>5.9167028747975524E-3</v>
      </c>
      <c r="Q13" s="738"/>
      <c r="R13" s="739">
        <f t="shared" si="6"/>
        <v>7.4825286013362732E-2</v>
      </c>
      <c r="S13" s="738"/>
      <c r="T13" s="739">
        <f t="shared" si="6"/>
        <v>6.1631307331528475E-2</v>
      </c>
      <c r="U13" s="741">
        <f t="array" ref="U13">SUM($C$3:$T$3*C13:T13)</f>
        <v>8.8190960754695499E-2</v>
      </c>
      <c r="V13" s="742">
        <f t="shared" si="7"/>
        <v>3.4103847386905473E-2</v>
      </c>
    </row>
    <row r="14" spans="1:22" x14ac:dyDescent="0.25">
      <c r="A14" s="334">
        <v>24000</v>
      </c>
      <c r="B14" s="336" t="s">
        <v>15</v>
      </c>
      <c r="C14" s="738"/>
      <c r="D14" s="739">
        <f t="shared" si="0"/>
        <v>4.1666443931859684E-2</v>
      </c>
      <c r="E14" s="733"/>
      <c r="F14" s="733"/>
      <c r="G14" s="733"/>
      <c r="H14" s="740">
        <f t="shared" si="1"/>
        <v>3.9691340624284963E-2</v>
      </c>
      <c r="I14" s="738"/>
      <c r="J14" s="739">
        <f t="shared" si="2"/>
        <v>4.4229838212742269E-2</v>
      </c>
      <c r="K14" s="738"/>
      <c r="L14" s="740">
        <f t="shared" si="3"/>
        <v>4.9488103566976312E-2</v>
      </c>
      <c r="M14" s="738"/>
      <c r="N14" s="739">
        <f t="shared" si="4"/>
        <v>3.952077697967267E-2</v>
      </c>
      <c r="O14" s="738"/>
      <c r="P14" s="740">
        <f t="shared" si="5"/>
        <v>1.9106824912045465E-2</v>
      </c>
      <c r="Q14" s="738"/>
      <c r="R14" s="739">
        <f t="shared" si="6"/>
        <v>5.8059986060395648E-2</v>
      </c>
      <c r="S14" s="738"/>
      <c r="T14" s="739">
        <f t="shared" si="6"/>
        <v>6.4789890385558213E-2</v>
      </c>
      <c r="U14" s="741">
        <f t="array" ref="U14">SUM($C$3:$T$3*C14:T14)</f>
        <v>4.6358726732282071E-2</v>
      </c>
      <c r="V14" s="742">
        <f t="shared" si="7"/>
        <v>1.7927131397588569E-2</v>
      </c>
    </row>
    <row r="15" spans="1:22" x14ac:dyDescent="0.25">
      <c r="A15" s="334">
        <v>25000</v>
      </c>
      <c r="B15" s="336" t="s">
        <v>16</v>
      </c>
      <c r="C15" s="738"/>
      <c r="D15" s="739">
        <f t="shared" si="0"/>
        <v>5.1707405855983837E-2</v>
      </c>
      <c r="E15" s="733"/>
      <c r="F15" s="733"/>
      <c r="G15" s="733"/>
      <c r="H15" s="740">
        <f t="shared" si="1"/>
        <v>3.5879289575190251E-2</v>
      </c>
      <c r="I15" s="738"/>
      <c r="J15" s="739">
        <f t="shared" si="2"/>
        <v>5.7471766916163965E-2</v>
      </c>
      <c r="K15" s="738"/>
      <c r="L15" s="740">
        <f t="shared" si="3"/>
        <v>8.6151629341133962E-2</v>
      </c>
      <c r="M15" s="738"/>
      <c r="N15" s="739">
        <f t="shared" si="4"/>
        <v>1.264262648113902E-2</v>
      </c>
      <c r="O15" s="738"/>
      <c r="P15" s="740">
        <f t="shared" si="5"/>
        <v>9.8845591639549635E-3</v>
      </c>
      <c r="Q15" s="738"/>
      <c r="R15" s="739">
        <f t="shared" si="6"/>
        <v>4.3620572571675252E-2</v>
      </c>
      <c r="S15" s="738"/>
      <c r="T15" s="739">
        <f t="shared" si="6"/>
        <v>5.02984358178424E-2</v>
      </c>
      <c r="U15" s="741">
        <f t="array" ref="U15">SUM($C$3:$T$3*C15:T15)</f>
        <v>5.5832639243011732E-2</v>
      </c>
      <c r="V15" s="742">
        <f t="shared" si="7"/>
        <v>2.1590736643045842E-2</v>
      </c>
    </row>
    <row r="16" spans="1:22" x14ac:dyDescent="0.25">
      <c r="A16" s="334">
        <v>27000</v>
      </c>
      <c r="B16" s="336" t="s">
        <v>18</v>
      </c>
      <c r="C16" s="738"/>
      <c r="D16" s="739">
        <f t="shared" si="0"/>
        <v>8.6455001424072905E-2</v>
      </c>
      <c r="E16" s="733"/>
      <c r="F16" s="733"/>
      <c r="G16" s="733"/>
      <c r="H16" s="740">
        <f t="shared" si="1"/>
        <v>7.44414141911037E-2</v>
      </c>
      <c r="I16" s="738"/>
      <c r="J16" s="739">
        <f t="shared" si="2"/>
        <v>7.8765066045654808E-2</v>
      </c>
      <c r="K16" s="738"/>
      <c r="L16" s="740">
        <f t="shared" si="3"/>
        <v>0.10770712482428714</v>
      </c>
      <c r="M16" s="738"/>
      <c r="N16" s="739">
        <f t="shared" si="4"/>
        <v>1.6309671300553965E-2</v>
      </c>
      <c r="O16" s="738"/>
      <c r="P16" s="740">
        <f t="shared" si="5"/>
        <v>8.4433959307892797E-2</v>
      </c>
      <c r="Q16" s="738"/>
      <c r="R16" s="739">
        <f t="shared" si="6"/>
        <v>0.18791458380312023</v>
      </c>
      <c r="S16" s="738"/>
      <c r="T16" s="739">
        <f t="shared" si="6"/>
        <v>6.7815523124588953E-2</v>
      </c>
      <c r="U16" s="741">
        <f t="array" ref="U16">SUM($C$3:$T$3*C16:T16)</f>
        <v>9.1974484361959957E-2</v>
      </c>
      <c r="V16" s="742">
        <f t="shared" si="7"/>
        <v>3.5566953249260319E-2</v>
      </c>
    </row>
    <row r="17" spans="1:22" x14ac:dyDescent="0.25">
      <c r="A17" s="334">
        <v>28000</v>
      </c>
      <c r="B17" s="336" t="s">
        <v>19</v>
      </c>
      <c r="C17" s="738"/>
      <c r="D17" s="739">
        <f t="shared" si="0"/>
        <v>6.760913998289679E-2</v>
      </c>
      <c r="E17" s="733"/>
      <c r="F17" s="733"/>
      <c r="G17" s="733"/>
      <c r="H17" s="740">
        <f t="shared" si="1"/>
        <v>5.1472756833430888E-2</v>
      </c>
      <c r="I17" s="738"/>
      <c r="J17" s="739">
        <f t="shared" si="2"/>
        <v>7.6498921636168504E-2</v>
      </c>
      <c r="K17" s="738"/>
      <c r="L17" s="740">
        <f t="shared" si="3"/>
        <v>4.9685329438642817E-2</v>
      </c>
      <c r="M17" s="738"/>
      <c r="N17" s="739">
        <f t="shared" si="4"/>
        <v>0.13641607053321492</v>
      </c>
      <c r="O17" s="738"/>
      <c r="P17" s="740">
        <f t="shared" si="5"/>
        <v>3.173835036598726E-2</v>
      </c>
      <c r="Q17" s="738"/>
      <c r="R17" s="739">
        <f t="shared" si="6"/>
        <v>3.2779066766604151E-2</v>
      </c>
      <c r="S17" s="738"/>
      <c r="T17" s="739">
        <f t="shared" si="6"/>
        <v>7.4997793917846348E-2</v>
      </c>
      <c r="U17" s="741">
        <f t="array" ref="U17">SUM($C$3:$T$3*C17:T17)</f>
        <v>5.8854611606418923E-2</v>
      </c>
      <c r="V17" s="742">
        <f t="shared" si="7"/>
        <v>2.2759347160576659E-2</v>
      </c>
    </row>
    <row r="18" spans="1:22" x14ac:dyDescent="0.25">
      <c r="A18" s="334">
        <v>31000</v>
      </c>
      <c r="B18" s="336" t="s">
        <v>20</v>
      </c>
      <c r="C18" s="738"/>
      <c r="D18" s="739">
        <f t="shared" si="0"/>
        <v>0.10717431793789876</v>
      </c>
      <c r="E18" s="733"/>
      <c r="F18" s="733"/>
      <c r="G18" s="733"/>
      <c r="H18" s="740">
        <f t="shared" si="1"/>
        <v>0.19790243043822042</v>
      </c>
      <c r="I18" s="738"/>
      <c r="J18" s="739">
        <f t="shared" si="2"/>
        <v>6.3444353240282206E-2</v>
      </c>
      <c r="K18" s="738"/>
      <c r="L18" s="740">
        <f t="shared" si="3"/>
        <v>2.9020747932898959E-2</v>
      </c>
      <c r="M18" s="738"/>
      <c r="N18" s="739">
        <f t="shared" si="4"/>
        <v>4.8085848694688314E-3</v>
      </c>
      <c r="O18" s="738"/>
      <c r="P18" s="740">
        <f t="shared" si="5"/>
        <v>0.22460692105733893</v>
      </c>
      <c r="Q18" s="738"/>
      <c r="R18" s="739">
        <f t="shared" si="6"/>
        <v>3.0983810774312018E-2</v>
      </c>
      <c r="S18" s="738"/>
      <c r="T18" s="739">
        <f t="shared" si="6"/>
        <v>4.2370409527978145E-2</v>
      </c>
      <c r="U18" s="741">
        <f t="array" ref="U18">SUM($C$3:$T$3*C18:T18)</f>
        <v>8.8921830527210227E-2</v>
      </c>
      <c r="V18" s="742">
        <f t="shared" si="7"/>
        <v>3.4386478066606031E-2</v>
      </c>
    </row>
    <row r="19" spans="1:22" x14ac:dyDescent="0.25">
      <c r="A19" s="334">
        <v>41000</v>
      </c>
      <c r="B19" s="336" t="s">
        <v>21</v>
      </c>
      <c r="C19" s="738"/>
      <c r="D19" s="739">
        <f t="shared" si="0"/>
        <v>0.13859947808628395</v>
      </c>
      <c r="E19" s="733"/>
      <c r="F19" s="733"/>
      <c r="G19" s="733"/>
      <c r="H19" s="740">
        <f t="shared" si="1"/>
        <v>0.14957007057864724</v>
      </c>
      <c r="I19" s="738"/>
      <c r="J19" s="739">
        <f t="shared" si="2"/>
        <v>0.13791706568347278</v>
      </c>
      <c r="K19" s="738"/>
      <c r="L19" s="740">
        <f t="shared" si="3"/>
        <v>0.10362669407134839</v>
      </c>
      <c r="M19" s="738"/>
      <c r="N19" s="739">
        <f t="shared" si="4"/>
        <v>1.1405227741661222E-2</v>
      </c>
      <c r="O19" s="738"/>
      <c r="P19" s="740">
        <f t="shared" si="5"/>
        <v>0.35516090770068032</v>
      </c>
      <c r="Q19" s="738"/>
      <c r="R19" s="739">
        <f t="shared" si="6"/>
        <v>0.11443777799407409</v>
      </c>
      <c r="S19" s="738"/>
      <c r="T19" s="739">
        <f t="shared" si="6"/>
        <v>0.14110175907667305</v>
      </c>
      <c r="U19" s="741">
        <f t="array" ref="U19">SUM($C$3:$T$3*C19:T19)</f>
        <v>0.13289647210905256</v>
      </c>
      <c r="V19" s="742">
        <f t="shared" si="7"/>
        <v>5.1391672845835949E-2</v>
      </c>
    </row>
    <row r="20" spans="1:22" ht="15" customHeight="1" thickBot="1" x14ac:dyDescent="0.3">
      <c r="A20" s="337">
        <v>43000</v>
      </c>
      <c r="B20" s="338" t="s">
        <v>22</v>
      </c>
      <c r="C20" s="738"/>
      <c r="D20" s="739">
        <f t="shared" si="0"/>
        <v>7.6063730348633452E-2</v>
      </c>
      <c r="E20" s="743"/>
      <c r="F20" s="733"/>
      <c r="G20" s="744"/>
      <c r="H20" s="745">
        <f t="shared" si="1"/>
        <v>7.8576252610149916E-2</v>
      </c>
      <c r="I20" s="738"/>
      <c r="J20" s="739">
        <f t="shared" si="2"/>
        <v>7.3185951770484675E-2</v>
      </c>
      <c r="K20" s="738"/>
      <c r="L20" s="740">
        <f t="shared" si="3"/>
        <v>7.9098667856644184E-2</v>
      </c>
      <c r="M20" s="738"/>
      <c r="N20" s="739">
        <f t="shared" si="4"/>
        <v>7.313039853152313E-2</v>
      </c>
      <c r="O20" s="738"/>
      <c r="P20" s="740">
        <f t="shared" si="5"/>
        <v>6.4419824389874786E-2</v>
      </c>
      <c r="Q20" s="738"/>
      <c r="R20" s="739">
        <f t="shared" si="6"/>
        <v>6.9746608493053641E-2</v>
      </c>
      <c r="S20" s="738"/>
      <c r="T20" s="739">
        <f t="shared" si="6"/>
        <v>6.6160689340026543E-2</v>
      </c>
      <c r="U20" s="741">
        <f t="array" ref="U20">SUM($C$3:$T$3*C20:T20)</f>
        <v>7.5342734956212173E-2</v>
      </c>
      <c r="V20" s="742">
        <f t="shared" si="7"/>
        <v>2.9135379778952267E-2</v>
      </c>
    </row>
    <row r="21" spans="1:22" ht="15.75" thickBot="1" x14ac:dyDescent="0.3">
      <c r="A21" s="973" t="s">
        <v>118</v>
      </c>
      <c r="B21" s="974"/>
      <c r="C21" s="746"/>
      <c r="D21" s="747">
        <f>SUM(D6:D20)</f>
        <v>1</v>
      </c>
      <c r="E21" s="748"/>
      <c r="F21" s="748"/>
      <c r="G21" s="748"/>
      <c r="H21" s="749">
        <f>SUM(H6:H20)</f>
        <v>1</v>
      </c>
      <c r="I21" s="746"/>
      <c r="J21" s="747">
        <f>SUM(J6:J20)</f>
        <v>1</v>
      </c>
      <c r="K21" s="746"/>
      <c r="L21" s="749">
        <f>SUM(L6:L20)</f>
        <v>1</v>
      </c>
      <c r="M21" s="746"/>
      <c r="N21" s="747">
        <f>SUM(N6:N20)</f>
        <v>0.99999999999999989</v>
      </c>
      <c r="O21" s="746"/>
      <c r="P21" s="749">
        <f>SUM(P6:P20)</f>
        <v>1</v>
      </c>
      <c r="Q21" s="746"/>
      <c r="R21" s="747">
        <f>SUM(R6:R20)</f>
        <v>1</v>
      </c>
      <c r="S21" s="746"/>
      <c r="T21" s="747">
        <f>SUM(T6:T20)</f>
        <v>0.99999999999999989</v>
      </c>
      <c r="U21" s="750">
        <f>SUM(U6:U20)</f>
        <v>1</v>
      </c>
      <c r="V21" s="751">
        <f>SUM(V6:V20)</f>
        <v>0.38670456807660647</v>
      </c>
    </row>
    <row r="22" spans="1:22" ht="15.75" thickBot="1" x14ac:dyDescent="0.3"/>
    <row r="23" spans="1:22" x14ac:dyDescent="0.25">
      <c r="A23" s="339">
        <v>12000</v>
      </c>
      <c r="B23" s="335" t="s">
        <v>5</v>
      </c>
      <c r="C23" s="752">
        <v>5223.247486555998</v>
      </c>
      <c r="D23" s="732">
        <f>C23/$C$38</f>
        <v>7.5378661740770236E-2</v>
      </c>
      <c r="E23" s="752">
        <v>24096</v>
      </c>
      <c r="F23" s="753">
        <v>27821</v>
      </c>
      <c r="G23" s="753">
        <f>E23+F23</f>
        <v>51917</v>
      </c>
      <c r="H23" s="732">
        <f>G23/$G$38</f>
        <v>4.3574197078882916E-2</v>
      </c>
      <c r="I23" s="752">
        <v>2344.30058801937</v>
      </c>
      <c r="J23" s="732">
        <f>I23/$I$38</f>
        <v>7.2533487845733949E-2</v>
      </c>
      <c r="K23" s="752"/>
      <c r="L23" s="735">
        <v>9.9223592104218147E-2</v>
      </c>
      <c r="M23" s="752">
        <v>4418.6049999999996</v>
      </c>
      <c r="N23" s="732">
        <f>M23/$M$38</f>
        <v>1.728823201558936E-2</v>
      </c>
      <c r="O23" s="752"/>
      <c r="P23" s="732">
        <v>4.4159042730109552E-2</v>
      </c>
    </row>
    <row r="24" spans="1:22" ht="15" customHeight="1" x14ac:dyDescent="0.25">
      <c r="A24" s="859">
        <v>13000</v>
      </c>
      <c r="B24" s="860" t="s">
        <v>6</v>
      </c>
      <c r="C24" s="754">
        <v>3494.0591358206757</v>
      </c>
      <c r="D24" s="861">
        <f t="shared" ref="D24:D37" si="8">C24/$C$38</f>
        <v>5.0424090066414858E-2</v>
      </c>
      <c r="E24" s="754">
        <v>16328</v>
      </c>
      <c r="F24" s="755">
        <v>18259</v>
      </c>
      <c r="G24" s="755">
        <f t="shared" ref="G24:G37" si="9">E24+F24</f>
        <v>34587</v>
      </c>
      <c r="H24" s="861">
        <f t="shared" ref="H24:H37" si="10">G24/$G$38</f>
        <v>2.902904163120603E-2</v>
      </c>
      <c r="I24" s="754">
        <v>1858.0487551570877</v>
      </c>
      <c r="J24" s="861">
        <f t="shared" ref="J24:J37" si="11">I24/$I$38</f>
        <v>5.7488684466368511E-2</v>
      </c>
      <c r="K24" s="754"/>
      <c r="L24" s="862">
        <v>2.5495207469606398E-2</v>
      </c>
      <c r="M24" s="754">
        <v>38039.69</v>
      </c>
      <c r="N24" s="861">
        <f t="shared" ref="N24:N37" si="12">M24/$M$38</f>
        <v>0.14883407467313653</v>
      </c>
      <c r="O24" s="754"/>
      <c r="P24" s="861">
        <v>2.4573467712170325E-3</v>
      </c>
    </row>
    <row r="25" spans="1:22" x14ac:dyDescent="0.25">
      <c r="A25" s="340">
        <v>16000</v>
      </c>
      <c r="B25" s="336" t="s">
        <v>267</v>
      </c>
      <c r="C25" s="754">
        <v>1476.0762509928513</v>
      </c>
      <c r="D25" s="739">
        <f t="shared" si="8"/>
        <v>2.1301815147292187E-2</v>
      </c>
      <c r="E25" s="754">
        <v>1272</v>
      </c>
      <c r="F25" s="755">
        <v>7750</v>
      </c>
      <c r="G25" s="755">
        <f t="shared" si="9"/>
        <v>9022</v>
      </c>
      <c r="H25" s="739">
        <f t="shared" si="10"/>
        <v>7.5722096046705644E-3</v>
      </c>
      <c r="I25" s="754">
        <v>1070.2543658692036</v>
      </c>
      <c r="J25" s="739">
        <f t="shared" si="11"/>
        <v>3.3114047931969447E-2</v>
      </c>
      <c r="K25" s="754"/>
      <c r="L25" s="740">
        <v>2.0704295737625909E-2</v>
      </c>
      <c r="M25" s="754">
        <v>0</v>
      </c>
      <c r="N25" s="739">
        <f t="shared" si="12"/>
        <v>0</v>
      </c>
      <c r="O25" s="754"/>
      <c r="P25" s="739">
        <v>6.249358605502861E-2</v>
      </c>
    </row>
    <row r="26" spans="1:22" x14ac:dyDescent="0.25">
      <c r="A26" s="340">
        <v>17000</v>
      </c>
      <c r="B26" s="336" t="s">
        <v>9</v>
      </c>
      <c r="C26" s="754">
        <v>5189.3738866658068</v>
      </c>
      <c r="D26" s="739">
        <f t="shared" si="8"/>
        <v>7.4889818997891044E-2</v>
      </c>
      <c r="E26" s="754">
        <v>30356</v>
      </c>
      <c r="F26" s="755">
        <v>46760</v>
      </c>
      <c r="G26" s="755">
        <f t="shared" si="9"/>
        <v>77116</v>
      </c>
      <c r="H26" s="739">
        <f t="shared" si="10"/>
        <v>6.4723843479691331E-2</v>
      </c>
      <c r="I26" s="754">
        <v>2668.532183234729</v>
      </c>
      <c r="J26" s="739">
        <f t="shared" si="11"/>
        <v>8.2565327871259656E-2</v>
      </c>
      <c r="K26" s="754"/>
      <c r="L26" s="740">
        <v>5.3774124265468598E-2</v>
      </c>
      <c r="M26" s="754">
        <v>42038.615000000005</v>
      </c>
      <c r="N26" s="739">
        <f t="shared" si="12"/>
        <v>0.16448026690189216</v>
      </c>
      <c r="O26" s="754"/>
      <c r="P26" s="739">
        <v>5.2600090456691381E-2</v>
      </c>
    </row>
    <row r="27" spans="1:22" x14ac:dyDescent="0.25">
      <c r="A27" s="340">
        <v>18000</v>
      </c>
      <c r="B27" s="336" t="s">
        <v>10</v>
      </c>
      <c r="C27" s="754">
        <v>3297.4965116279072</v>
      </c>
      <c r="D27" s="739">
        <f t="shared" si="8"/>
        <v>4.7587420427834454E-2</v>
      </c>
      <c r="E27" s="754">
        <v>57575</v>
      </c>
      <c r="F27" s="755">
        <v>57670</v>
      </c>
      <c r="G27" s="755">
        <f t="shared" si="9"/>
        <v>115245</v>
      </c>
      <c r="H27" s="739">
        <f t="shared" si="10"/>
        <v>9.6725703379545461E-2</v>
      </c>
      <c r="I27" s="754">
        <v>1614.9900908179711</v>
      </c>
      <c r="J27" s="739">
        <f t="shared" si="11"/>
        <v>4.99683635801563E-2</v>
      </c>
      <c r="K27" s="754"/>
      <c r="L27" s="740">
        <v>2.5306910313813605E-2</v>
      </c>
      <c r="M27" s="754">
        <v>12905.05</v>
      </c>
      <c r="N27" s="739">
        <f t="shared" si="12"/>
        <v>5.0492293059185303E-2</v>
      </c>
      <c r="O27" s="754"/>
      <c r="P27" s="739">
        <v>6.9530578784528473E-3</v>
      </c>
    </row>
    <row r="28" spans="1:22" x14ac:dyDescent="0.25">
      <c r="A28" s="340">
        <v>19000</v>
      </c>
      <c r="B28" s="336" t="s">
        <v>11</v>
      </c>
      <c r="C28" s="754">
        <v>2221.0679229654174</v>
      </c>
      <c r="D28" s="739">
        <f t="shared" si="8"/>
        <v>3.2053071982403071E-2</v>
      </c>
      <c r="E28" s="754">
        <v>8709</v>
      </c>
      <c r="F28" s="755">
        <v>6517</v>
      </c>
      <c r="G28" s="755">
        <f t="shared" si="9"/>
        <v>15226</v>
      </c>
      <c r="H28" s="739">
        <f t="shared" si="10"/>
        <v>1.2779257752240524E-2</v>
      </c>
      <c r="I28" s="754">
        <v>1068.8686976392246</v>
      </c>
      <c r="J28" s="739">
        <f t="shared" si="11"/>
        <v>3.3071174867725449E-2</v>
      </c>
      <c r="K28" s="754"/>
      <c r="L28" s="740">
        <v>2.5228523205823344E-2</v>
      </c>
      <c r="M28" s="754">
        <v>22839.670000000002</v>
      </c>
      <c r="N28" s="739">
        <f t="shared" si="12"/>
        <v>8.9362482982637256E-2</v>
      </c>
      <c r="O28" s="754"/>
      <c r="P28" s="739">
        <v>6.847877879668578E-3</v>
      </c>
    </row>
    <row r="29" spans="1:22" x14ac:dyDescent="0.25">
      <c r="A29" s="340">
        <v>22000</v>
      </c>
      <c r="B29" s="336" t="s">
        <v>13</v>
      </c>
      <c r="C29" s="754">
        <v>2807.2366648706898</v>
      </c>
      <c r="D29" s="739">
        <f t="shared" si="8"/>
        <v>4.0512294991233537E-2</v>
      </c>
      <c r="E29" s="754">
        <v>19857</v>
      </c>
      <c r="F29" s="755">
        <v>42165</v>
      </c>
      <c r="G29" s="755">
        <f t="shared" si="9"/>
        <v>62022</v>
      </c>
      <c r="H29" s="739">
        <f t="shared" si="10"/>
        <v>5.2055373985909745E-2</v>
      </c>
      <c r="I29" s="754">
        <v>1525.644747785929</v>
      </c>
      <c r="J29" s="739">
        <f t="shared" si="11"/>
        <v>4.720398712348238E-2</v>
      </c>
      <c r="K29" s="754"/>
      <c r="L29" s="740">
        <v>0.14088408479597478</v>
      </c>
      <c r="M29" s="754">
        <v>404.8</v>
      </c>
      <c r="N29" s="739">
        <f t="shared" si="12"/>
        <v>1.5838203052571057E-3</v>
      </c>
      <c r="O29" s="754"/>
      <c r="P29" s="739">
        <v>2.9220948456259867E-2</v>
      </c>
    </row>
    <row r="30" spans="1:22" x14ac:dyDescent="0.25">
      <c r="A30" s="340">
        <v>23000</v>
      </c>
      <c r="B30" s="336" t="s">
        <v>14</v>
      </c>
      <c r="C30" s="754">
        <v>6137.8272885958113</v>
      </c>
      <c r="D30" s="739">
        <f t="shared" si="8"/>
        <v>8.8577309078531341E-2</v>
      </c>
      <c r="E30" s="754">
        <v>42340</v>
      </c>
      <c r="F30" s="755">
        <v>43916</v>
      </c>
      <c r="G30" s="755">
        <f t="shared" si="9"/>
        <v>86256</v>
      </c>
      <c r="H30" s="739">
        <f t="shared" si="10"/>
        <v>7.239509107298428E-2</v>
      </c>
      <c r="I30" s="754">
        <v>2990.9795360930834</v>
      </c>
      <c r="J30" s="739">
        <f t="shared" si="11"/>
        <v>9.2541962808335099E-2</v>
      </c>
      <c r="K30" s="754"/>
      <c r="L30" s="740">
        <v>0.10460496507553756</v>
      </c>
      <c r="M30" s="754">
        <v>59736.62</v>
      </c>
      <c r="N30" s="739">
        <f t="shared" si="12"/>
        <v>0.23372547362506849</v>
      </c>
      <c r="O30" s="754"/>
      <c r="P30" s="739">
        <v>5.9167028747975524E-3</v>
      </c>
    </row>
    <row r="31" spans="1:22" x14ac:dyDescent="0.25">
      <c r="A31" s="340">
        <v>24000</v>
      </c>
      <c r="B31" s="336" t="s">
        <v>15</v>
      </c>
      <c r="C31" s="754">
        <v>2887.2116261398178</v>
      </c>
      <c r="D31" s="739">
        <f t="shared" si="8"/>
        <v>4.1666443931859684E-2</v>
      </c>
      <c r="E31" s="754">
        <v>22357</v>
      </c>
      <c r="F31" s="755">
        <v>27436</v>
      </c>
      <c r="G31" s="755">
        <f t="shared" si="9"/>
        <v>49793</v>
      </c>
      <c r="H31" s="739">
        <f t="shared" si="10"/>
        <v>4.1791513283680047E-2</v>
      </c>
      <c r="I31" s="754">
        <v>1429.5195062266912</v>
      </c>
      <c r="J31" s="739">
        <f t="shared" si="11"/>
        <v>4.4229838212742269E-2</v>
      </c>
      <c r="K31" s="754"/>
      <c r="L31" s="740">
        <v>4.9488103566976312E-2</v>
      </c>
      <c r="M31" s="754">
        <v>10100.9</v>
      </c>
      <c r="N31" s="739">
        <f t="shared" si="12"/>
        <v>3.952077697967267E-2</v>
      </c>
      <c r="O31" s="754"/>
      <c r="P31" s="739">
        <v>1.9106824912045465E-2</v>
      </c>
    </row>
    <row r="32" spans="1:22" x14ac:dyDescent="0.25">
      <c r="A32" s="340">
        <v>25000</v>
      </c>
      <c r="B32" s="336" t="s">
        <v>16</v>
      </c>
      <c r="C32" s="754">
        <v>3582.9845136069766</v>
      </c>
      <c r="D32" s="739">
        <f t="shared" si="8"/>
        <v>5.1707405855983837E-2</v>
      </c>
      <c r="E32" s="754">
        <v>16159</v>
      </c>
      <c r="F32" s="755">
        <v>27221</v>
      </c>
      <c r="G32" s="755">
        <f t="shared" si="9"/>
        <v>43380</v>
      </c>
      <c r="H32" s="739">
        <f t="shared" si="10"/>
        <v>3.6409050393550108E-2</v>
      </c>
      <c r="I32" s="754">
        <v>1857.5019756753577</v>
      </c>
      <c r="J32" s="739">
        <f t="shared" si="11"/>
        <v>5.7471766916163965E-2</v>
      </c>
      <c r="K32" s="754"/>
      <c r="L32" s="740">
        <v>8.6151629341133962E-2</v>
      </c>
      <c r="M32" s="754">
        <v>3231.26</v>
      </c>
      <c r="N32" s="739">
        <f t="shared" si="12"/>
        <v>1.264262648113902E-2</v>
      </c>
      <c r="O32" s="754"/>
      <c r="P32" s="739">
        <v>9.8845591639549635E-3</v>
      </c>
    </row>
    <row r="33" spans="1:20" x14ac:dyDescent="0.25">
      <c r="A33" s="340">
        <v>27000</v>
      </c>
      <c r="B33" s="336" t="s">
        <v>18</v>
      </c>
      <c r="C33" s="754">
        <v>5990.7652704351358</v>
      </c>
      <c r="D33" s="739">
        <f t="shared" si="8"/>
        <v>8.6455001424072905E-2</v>
      </c>
      <c r="E33" s="754">
        <v>23516</v>
      </c>
      <c r="F33" s="755">
        <v>56962</v>
      </c>
      <c r="G33" s="755">
        <f t="shared" si="9"/>
        <v>80478</v>
      </c>
      <c r="H33" s="739">
        <f t="shared" si="10"/>
        <v>6.7545586850440889E-2</v>
      </c>
      <c r="I33" s="754">
        <v>2545.7067642869897</v>
      </c>
      <c r="J33" s="739">
        <f t="shared" si="11"/>
        <v>7.8765066045654808E-2</v>
      </c>
      <c r="K33" s="754"/>
      <c r="L33" s="740">
        <v>0.10770712482428714</v>
      </c>
      <c r="M33" s="754">
        <v>4168.5</v>
      </c>
      <c r="N33" s="739">
        <f t="shared" si="12"/>
        <v>1.6309671300553965E-2</v>
      </c>
      <c r="O33" s="754"/>
      <c r="P33" s="739">
        <v>8.4433959307892797E-2</v>
      </c>
    </row>
    <row r="34" spans="1:20" x14ac:dyDescent="0.25">
      <c r="A34" s="340">
        <v>28000</v>
      </c>
      <c r="B34" s="336" t="s">
        <v>19</v>
      </c>
      <c r="C34" s="754">
        <v>4684.8705234159788</v>
      </c>
      <c r="D34" s="739">
        <f t="shared" si="8"/>
        <v>6.760913998289679E-2</v>
      </c>
      <c r="E34" s="754">
        <v>32558</v>
      </c>
      <c r="F34" s="755">
        <v>32826</v>
      </c>
      <c r="G34" s="755">
        <f t="shared" si="9"/>
        <v>65384</v>
      </c>
      <c r="H34" s="739">
        <f t="shared" si="10"/>
        <v>5.4877117356659295E-2</v>
      </c>
      <c r="I34" s="754">
        <v>2472.464406453676</v>
      </c>
      <c r="J34" s="739">
        <f t="shared" si="11"/>
        <v>7.6498921636168504E-2</v>
      </c>
      <c r="K34" s="754"/>
      <c r="L34" s="740">
        <v>4.9685329438642817E-2</v>
      </c>
      <c r="M34" s="754">
        <v>34865.839999999997</v>
      </c>
      <c r="N34" s="739">
        <f t="shared" si="12"/>
        <v>0.13641607053321492</v>
      </c>
      <c r="O34" s="754"/>
      <c r="P34" s="739">
        <v>3.173835036598726E-2</v>
      </c>
    </row>
    <row r="35" spans="1:20" x14ac:dyDescent="0.25">
      <c r="A35" s="340">
        <v>31000</v>
      </c>
      <c r="B35" s="336" t="s">
        <v>20</v>
      </c>
      <c r="C35" s="754">
        <v>7426.4781818181818</v>
      </c>
      <c r="D35" s="739">
        <f t="shared" si="8"/>
        <v>0.10717431793789876</v>
      </c>
      <c r="E35" s="754">
        <v>124860</v>
      </c>
      <c r="F35" s="755">
        <v>114811</v>
      </c>
      <c r="G35" s="755">
        <f t="shared" si="9"/>
        <v>239671</v>
      </c>
      <c r="H35" s="739">
        <f t="shared" si="10"/>
        <v>0.20115706585690521</v>
      </c>
      <c r="I35" s="754">
        <v>2050.5374693139051</v>
      </c>
      <c r="J35" s="739">
        <f t="shared" si="11"/>
        <v>6.3444353240282206E-2</v>
      </c>
      <c r="K35" s="754"/>
      <c r="L35" s="740">
        <v>2.9020747932898959E-2</v>
      </c>
      <c r="M35" s="754">
        <v>1229</v>
      </c>
      <c r="N35" s="739">
        <f t="shared" si="12"/>
        <v>4.8085848694688314E-3</v>
      </c>
      <c r="O35" s="754"/>
      <c r="P35" s="739">
        <v>0.22460692105733893</v>
      </c>
    </row>
    <row r="36" spans="1:20" x14ac:dyDescent="0.25">
      <c r="A36" s="340">
        <v>41000</v>
      </c>
      <c r="B36" s="336" t="s">
        <v>21</v>
      </c>
      <c r="C36" s="754">
        <v>9604.035927857245</v>
      </c>
      <c r="D36" s="739">
        <f t="shared" si="8"/>
        <v>0.13859947808628395</v>
      </c>
      <c r="E36" s="754">
        <v>54725</v>
      </c>
      <c r="F36" s="755">
        <v>117032</v>
      </c>
      <c r="G36" s="755">
        <f t="shared" si="9"/>
        <v>171757</v>
      </c>
      <c r="H36" s="739">
        <f t="shared" si="10"/>
        <v>0.14415650687978299</v>
      </c>
      <c r="I36" s="754">
        <v>4457.5142845372948</v>
      </c>
      <c r="J36" s="739">
        <f t="shared" si="11"/>
        <v>0.13791706568347278</v>
      </c>
      <c r="K36" s="754"/>
      <c r="L36" s="740">
        <v>0.10362669407134839</v>
      </c>
      <c r="M36" s="754">
        <v>2915</v>
      </c>
      <c r="N36" s="739">
        <f t="shared" si="12"/>
        <v>1.1405227741661222E-2</v>
      </c>
      <c r="O36" s="754"/>
      <c r="P36" s="739">
        <v>0.35516090770068032</v>
      </c>
    </row>
    <row r="37" spans="1:20" ht="15.75" thickBot="1" x14ac:dyDescent="0.3">
      <c r="A37" s="341">
        <v>43000</v>
      </c>
      <c r="B37" s="338" t="s">
        <v>22</v>
      </c>
      <c r="C37" s="754">
        <v>5270.7182535012353</v>
      </c>
      <c r="D37" s="739">
        <f t="shared" si="8"/>
        <v>7.6063730348633452E-2</v>
      </c>
      <c r="E37" s="756">
        <v>33010</v>
      </c>
      <c r="F37" s="755">
        <v>56598</v>
      </c>
      <c r="G37" s="757">
        <f t="shared" si="9"/>
        <v>89608</v>
      </c>
      <c r="H37" s="745">
        <f t="shared" si="10"/>
        <v>7.5208441393850578E-2</v>
      </c>
      <c r="I37" s="754">
        <v>2365.3883863299611</v>
      </c>
      <c r="J37" s="739">
        <f t="shared" si="11"/>
        <v>7.3185951770484675E-2</v>
      </c>
      <c r="K37" s="754"/>
      <c r="L37" s="740">
        <v>7.9098667856644184E-2</v>
      </c>
      <c r="M37" s="754">
        <v>18691</v>
      </c>
      <c r="N37" s="739">
        <f t="shared" si="12"/>
        <v>7.313039853152313E-2</v>
      </c>
      <c r="O37" s="754"/>
      <c r="P37" s="739">
        <v>6.4419824389874786E-2</v>
      </c>
    </row>
    <row r="38" spans="1:20" ht="15.75" thickBot="1" x14ac:dyDescent="0.3">
      <c r="A38" s="561">
        <v>2023</v>
      </c>
      <c r="B38" s="342" t="s">
        <v>118</v>
      </c>
      <c r="C38" s="758">
        <f t="shared" ref="C38:J38" si="13">SUM(C23:C37)</f>
        <v>69293.449444869722</v>
      </c>
      <c r="D38" s="747">
        <f t="shared" si="13"/>
        <v>1</v>
      </c>
      <c r="E38" s="758">
        <f t="shared" si="13"/>
        <v>507718</v>
      </c>
      <c r="F38" s="759">
        <f t="shared" si="13"/>
        <v>683744</v>
      </c>
      <c r="G38" s="759">
        <f t="shared" si="13"/>
        <v>1191462</v>
      </c>
      <c r="H38" s="747">
        <f t="shared" si="13"/>
        <v>1</v>
      </c>
      <c r="I38" s="758">
        <f t="shared" si="13"/>
        <v>32320.251757440474</v>
      </c>
      <c r="J38" s="747">
        <f t="shared" si="13"/>
        <v>1</v>
      </c>
      <c r="K38" s="758"/>
      <c r="L38" s="749">
        <f>SUM(L23:L37)</f>
        <v>1</v>
      </c>
      <c r="M38" s="758">
        <f>SUM(M23:M37)</f>
        <v>255584.55000000002</v>
      </c>
      <c r="N38" s="747">
        <f>SUM(N23:N37)</f>
        <v>0.99999999999999989</v>
      </c>
      <c r="O38" s="758">
        <f>SUM(O23:O37)</f>
        <v>0</v>
      </c>
      <c r="P38" s="747">
        <f>SUM(P23:P37)</f>
        <v>1</v>
      </c>
    </row>
    <row r="39" spans="1:20" ht="15.75" thickBot="1" x14ac:dyDescent="0.3"/>
    <row r="40" spans="1:20" ht="15" customHeight="1" x14ac:dyDescent="0.25">
      <c r="A40" s="339">
        <v>12000</v>
      </c>
      <c r="B40" s="335" t="s">
        <v>5</v>
      </c>
      <c r="C40" s="653"/>
      <c r="D40" s="709"/>
      <c r="E40" s="752">
        <v>22027</v>
      </c>
      <c r="F40" s="753">
        <v>29896</v>
      </c>
      <c r="G40" s="753">
        <f>E40+F40</f>
        <v>51923</v>
      </c>
      <c r="H40" s="732">
        <f>G40/$G$55</f>
        <v>4.5930291187590337E-2</v>
      </c>
      <c r="I40" s="653"/>
      <c r="J40" s="709"/>
      <c r="K40" s="653"/>
      <c r="L40" s="709"/>
      <c r="M40" s="653"/>
      <c r="N40" s="709"/>
      <c r="O40" s="653"/>
      <c r="P40" s="709"/>
      <c r="Q40" s="752">
        <v>311304.76811</v>
      </c>
      <c r="R40" s="732">
        <f>Q40/$Q$55</f>
        <v>8.6952459957790426E-2</v>
      </c>
      <c r="S40" s="752">
        <v>100.0925</v>
      </c>
      <c r="T40" s="732">
        <f>S40/$S$55</f>
        <v>9.5413408933445534E-2</v>
      </c>
    </row>
    <row r="41" spans="1:20" ht="15" customHeight="1" x14ac:dyDescent="0.25">
      <c r="A41" s="340">
        <v>13000</v>
      </c>
      <c r="B41" s="336" t="s">
        <v>6</v>
      </c>
      <c r="E41" s="754">
        <v>13529</v>
      </c>
      <c r="F41" s="755">
        <v>15476</v>
      </c>
      <c r="G41" s="755">
        <f t="shared" ref="G41:G54" si="14">E41+F41</f>
        <v>29005</v>
      </c>
      <c r="H41" s="739">
        <f t="shared" ref="H41:H54" si="15">G41/$G$55</f>
        <v>2.5657379117078324E-2</v>
      </c>
      <c r="M41" s="11"/>
      <c r="N41" s="842"/>
      <c r="Q41" s="754">
        <v>66874</v>
      </c>
      <c r="R41" s="739">
        <f t="shared" ref="R41:R54" si="16">Q41/$Q$55</f>
        <v>1.8678990503488171E-2</v>
      </c>
      <c r="S41" s="754">
        <v>35.82</v>
      </c>
      <c r="T41" s="739">
        <f t="shared" ref="T41:T54" si="17">S41/$S$55</f>
        <v>3.4145498493853378E-2</v>
      </c>
    </row>
    <row r="42" spans="1:20" ht="15" customHeight="1" x14ac:dyDescent="0.25">
      <c r="A42" s="340">
        <v>16000</v>
      </c>
      <c r="B42" s="336" t="s">
        <v>267</v>
      </c>
      <c r="E42" s="754">
        <v>458</v>
      </c>
      <c r="F42" s="755">
        <v>9827</v>
      </c>
      <c r="G42" s="755">
        <f t="shared" si="14"/>
        <v>10285</v>
      </c>
      <c r="H42" s="739">
        <f t="shared" si="15"/>
        <v>9.0979536017635077E-3</v>
      </c>
      <c r="N42" s="842"/>
      <c r="Q42" s="754">
        <v>43307.241489999993</v>
      </c>
      <c r="R42" s="739">
        <f t="shared" si="16"/>
        <v>1.2096413442054891E-2</v>
      </c>
      <c r="S42" s="754">
        <v>25.268000000000004</v>
      </c>
      <c r="T42" s="739">
        <f t="shared" si="17"/>
        <v>2.4086779897897467E-2</v>
      </c>
    </row>
    <row r="43" spans="1:20" ht="15" customHeight="1" x14ac:dyDescent="0.25">
      <c r="A43" s="340">
        <v>17000</v>
      </c>
      <c r="B43" s="336" t="s">
        <v>9</v>
      </c>
      <c r="E43" s="754">
        <v>24107</v>
      </c>
      <c r="F43" s="755">
        <v>50199</v>
      </c>
      <c r="G43" s="755">
        <f t="shared" si="14"/>
        <v>74306</v>
      </c>
      <c r="H43" s="739">
        <f t="shared" si="15"/>
        <v>6.5729950445565316E-2</v>
      </c>
      <c r="N43" s="842"/>
      <c r="Q43" s="754">
        <v>128552</v>
      </c>
      <c r="R43" s="739">
        <f t="shared" si="16"/>
        <v>3.5906654113772342E-2</v>
      </c>
      <c r="S43" s="754">
        <v>90.566000000000003</v>
      </c>
      <c r="T43" s="739">
        <f t="shared" si="17"/>
        <v>8.6332250602856639E-2</v>
      </c>
    </row>
    <row r="44" spans="1:20" ht="15" customHeight="1" x14ac:dyDescent="0.25">
      <c r="A44" s="340">
        <v>18000</v>
      </c>
      <c r="B44" s="336" t="s">
        <v>10</v>
      </c>
      <c r="E44" s="754">
        <v>28206</v>
      </c>
      <c r="F44" s="755">
        <v>56632</v>
      </c>
      <c r="G44" s="755">
        <f t="shared" si="14"/>
        <v>84838</v>
      </c>
      <c r="H44" s="739">
        <f t="shared" si="15"/>
        <v>7.5046396467322557E-2</v>
      </c>
      <c r="N44" s="842"/>
      <c r="Q44" s="754">
        <v>112884</v>
      </c>
      <c r="R44" s="739">
        <f t="shared" si="16"/>
        <v>3.1530328139422775E-2</v>
      </c>
      <c r="S44" s="754">
        <v>62.036183333333312</v>
      </c>
      <c r="T44" s="739">
        <f t="shared" si="17"/>
        <v>5.9136136364398226E-2</v>
      </c>
    </row>
    <row r="45" spans="1:20" ht="15" customHeight="1" x14ac:dyDescent="0.25">
      <c r="A45" s="340">
        <v>19000</v>
      </c>
      <c r="B45" s="336" t="s">
        <v>11</v>
      </c>
      <c r="E45" s="754">
        <v>12193</v>
      </c>
      <c r="F45" s="755">
        <v>3827</v>
      </c>
      <c r="G45" s="755">
        <f t="shared" si="14"/>
        <v>16020</v>
      </c>
      <c r="H45" s="739">
        <f t="shared" si="15"/>
        <v>1.4171046835221333E-2</v>
      </c>
      <c r="N45" s="842"/>
      <c r="Q45" s="754">
        <v>17899</v>
      </c>
      <c r="R45" s="739">
        <f t="shared" si="16"/>
        <v>4.9994803813430445E-3</v>
      </c>
      <c r="S45" s="754">
        <v>38.528999999999996</v>
      </c>
      <c r="T45" s="739">
        <f t="shared" si="17"/>
        <v>3.6727859058338259E-2</v>
      </c>
    </row>
    <row r="46" spans="1:20" ht="15" customHeight="1" x14ac:dyDescent="0.25">
      <c r="A46" s="340">
        <v>22000</v>
      </c>
      <c r="B46" s="336" t="s">
        <v>13</v>
      </c>
      <c r="E46" s="754">
        <v>18212</v>
      </c>
      <c r="F46" s="755">
        <v>45581</v>
      </c>
      <c r="G46" s="755">
        <f t="shared" si="14"/>
        <v>63793</v>
      </c>
      <c r="H46" s="739">
        <f t="shared" si="15"/>
        <v>5.6430311533038353E-2</v>
      </c>
      <c r="N46" s="842"/>
      <c r="Q46" s="754">
        <v>690763.47490000003</v>
      </c>
      <c r="R46" s="739">
        <f t="shared" si="16"/>
        <v>0.19294141800720147</v>
      </c>
      <c r="S46" s="754">
        <v>104.75</v>
      </c>
      <c r="T46" s="739">
        <f t="shared" si="17"/>
        <v>9.98531816647443E-2</v>
      </c>
    </row>
    <row r="47" spans="1:20" ht="15" customHeight="1" x14ac:dyDescent="0.25">
      <c r="A47" s="340">
        <v>23000</v>
      </c>
      <c r="B47" s="336" t="s">
        <v>14</v>
      </c>
      <c r="E47" s="754">
        <v>36726</v>
      </c>
      <c r="F47" s="755">
        <v>46216</v>
      </c>
      <c r="G47" s="755">
        <f t="shared" si="14"/>
        <v>82942</v>
      </c>
      <c r="H47" s="739">
        <f t="shared" si="15"/>
        <v>7.3369223883079135E-2</v>
      </c>
      <c r="N47" s="842"/>
      <c r="Q47" s="754">
        <v>261078</v>
      </c>
      <c r="R47" s="739">
        <f t="shared" si="16"/>
        <v>7.2923310743632577E-2</v>
      </c>
      <c r="S47" s="754">
        <v>63.185999999999993</v>
      </c>
      <c r="T47" s="739">
        <f t="shared" si="17"/>
        <v>6.0232201782038503E-2</v>
      </c>
    </row>
    <row r="48" spans="1:20" ht="15" customHeight="1" x14ac:dyDescent="0.25">
      <c r="A48" s="340">
        <v>24000</v>
      </c>
      <c r="B48" s="336" t="s">
        <v>15</v>
      </c>
      <c r="E48" s="754">
        <v>16578</v>
      </c>
      <c r="F48" s="755">
        <v>26767</v>
      </c>
      <c r="G48" s="755">
        <f t="shared" si="14"/>
        <v>43345</v>
      </c>
      <c r="H48" s="739">
        <f t="shared" si="15"/>
        <v>3.8342323662463706E-2</v>
      </c>
      <c r="N48" s="842"/>
      <c r="Q48" s="754">
        <v>227922.41873999994</v>
      </c>
      <c r="R48" s="739">
        <f t="shared" si="16"/>
        <v>6.3662420300513098E-2</v>
      </c>
      <c r="S48" s="754">
        <v>65.81</v>
      </c>
      <c r="T48" s="739">
        <f t="shared" si="17"/>
        <v>6.2733535898394491E-2</v>
      </c>
    </row>
    <row r="49" spans="1:20" ht="15" customHeight="1" x14ac:dyDescent="0.25">
      <c r="A49" s="340">
        <v>25000</v>
      </c>
      <c r="B49" s="336" t="s">
        <v>16</v>
      </c>
      <c r="E49" s="754">
        <v>13518</v>
      </c>
      <c r="F49" s="755">
        <v>25940</v>
      </c>
      <c r="G49" s="755">
        <f t="shared" si="14"/>
        <v>39458</v>
      </c>
      <c r="H49" s="739">
        <f t="shared" si="15"/>
        <v>3.4903942947825423E-2</v>
      </c>
      <c r="N49" s="842"/>
      <c r="Q49" s="754">
        <v>150709.25565999994</v>
      </c>
      <c r="R49" s="739">
        <f t="shared" si="16"/>
        <v>4.2095534217497232E-2</v>
      </c>
      <c r="S49" s="754">
        <v>51.42</v>
      </c>
      <c r="T49" s="739">
        <f t="shared" si="17"/>
        <v>4.9016234856335585E-2</v>
      </c>
    </row>
    <row r="50" spans="1:20" ht="15" customHeight="1" x14ac:dyDescent="0.25">
      <c r="A50" s="340">
        <v>27000</v>
      </c>
      <c r="B50" s="336" t="s">
        <v>18</v>
      </c>
      <c r="E50" s="754">
        <v>18360</v>
      </c>
      <c r="F50" s="755">
        <v>76451</v>
      </c>
      <c r="G50" s="755">
        <f t="shared" si="14"/>
        <v>94811</v>
      </c>
      <c r="H50" s="739">
        <f t="shared" si="15"/>
        <v>8.3868359643830812E-2</v>
      </c>
      <c r="N50" s="842"/>
      <c r="Q50" s="754">
        <v>693448</v>
      </c>
      <c r="R50" s="739">
        <f t="shared" si="16"/>
        <v>0.19369124931457465</v>
      </c>
      <c r="S50" s="754">
        <v>70.038000000000011</v>
      </c>
      <c r="T50" s="739">
        <f t="shared" si="17"/>
        <v>6.6763886753559543E-2</v>
      </c>
    </row>
    <row r="51" spans="1:20" ht="15" customHeight="1" x14ac:dyDescent="0.25">
      <c r="A51" s="340">
        <v>28000</v>
      </c>
      <c r="B51" s="336" t="s">
        <v>19</v>
      </c>
      <c r="E51" s="754">
        <v>22405</v>
      </c>
      <c r="F51" s="755">
        <v>30577</v>
      </c>
      <c r="G51" s="755">
        <f t="shared" si="14"/>
        <v>52982</v>
      </c>
      <c r="H51" s="739">
        <f t="shared" si="15"/>
        <v>4.6867066381004782E-2</v>
      </c>
      <c r="N51" s="842"/>
      <c r="Q51" s="754">
        <v>125578</v>
      </c>
      <c r="R51" s="739">
        <f t="shared" si="16"/>
        <v>3.507596778190384E-2</v>
      </c>
      <c r="S51" s="754">
        <v>77.004000000000005</v>
      </c>
      <c r="T51" s="739">
        <f t="shared" si="17"/>
        <v>7.3404242490806404E-2</v>
      </c>
    </row>
    <row r="52" spans="1:20" ht="15" customHeight="1" x14ac:dyDescent="0.25">
      <c r="A52" s="340">
        <v>31000</v>
      </c>
      <c r="B52" s="336" t="s">
        <v>20</v>
      </c>
      <c r="E52" s="754">
        <v>122377</v>
      </c>
      <c r="F52" s="755">
        <v>108638</v>
      </c>
      <c r="G52" s="755">
        <f t="shared" si="14"/>
        <v>231015</v>
      </c>
      <c r="H52" s="739">
        <f t="shared" si="15"/>
        <v>0.20435233362288738</v>
      </c>
      <c r="N52" s="842"/>
      <c r="Q52" s="754">
        <v>108147.61994</v>
      </c>
      <c r="R52" s="739">
        <f t="shared" si="16"/>
        <v>3.0207380534050723E-2</v>
      </c>
      <c r="S52" s="754">
        <v>47.175499999999992</v>
      </c>
      <c r="T52" s="739">
        <f t="shared" si="17"/>
        <v>4.4970155337710205E-2</v>
      </c>
    </row>
    <row r="53" spans="1:20" ht="15" customHeight="1" x14ac:dyDescent="0.25">
      <c r="A53" s="340">
        <v>41000</v>
      </c>
      <c r="B53" s="336" t="s">
        <v>21</v>
      </c>
      <c r="E53" s="754">
        <v>55378</v>
      </c>
      <c r="F53" s="755">
        <v>112150</v>
      </c>
      <c r="G53" s="755">
        <f t="shared" si="14"/>
        <v>167528</v>
      </c>
      <c r="H53" s="739">
        <f t="shared" si="15"/>
        <v>0.1481927050069263</v>
      </c>
      <c r="N53" s="842"/>
      <c r="Q53" s="754">
        <v>420782</v>
      </c>
      <c r="R53" s="739">
        <f t="shared" si="16"/>
        <v>0.11753122262820767</v>
      </c>
      <c r="S53" s="754">
        <v>152.93100000000001</v>
      </c>
      <c r="T53" s="739">
        <f t="shared" si="17"/>
        <v>0.14578183222120297</v>
      </c>
    </row>
    <row r="54" spans="1:20" ht="15" customHeight="1" thickBot="1" x14ac:dyDescent="0.3">
      <c r="A54" s="341">
        <v>43000</v>
      </c>
      <c r="B54" s="338" t="s">
        <v>22</v>
      </c>
      <c r="E54" s="756">
        <v>27288</v>
      </c>
      <c r="F54" s="755">
        <v>60935</v>
      </c>
      <c r="G54" s="757">
        <f t="shared" si="14"/>
        <v>88223</v>
      </c>
      <c r="H54" s="745">
        <f t="shared" si="15"/>
        <v>7.8040715664402724E-2</v>
      </c>
      <c r="N54" s="842"/>
      <c r="Q54" s="754">
        <v>220922.28599999999</v>
      </c>
      <c r="R54" s="739">
        <f t="shared" si="16"/>
        <v>6.1707169934547022E-2</v>
      </c>
      <c r="S54" s="754">
        <v>64.414000000000001</v>
      </c>
      <c r="T54" s="739">
        <f t="shared" si="17"/>
        <v>6.1402795644418522E-2</v>
      </c>
    </row>
    <row r="55" spans="1:20" ht="15" customHeight="1" thickBot="1" x14ac:dyDescent="0.3">
      <c r="A55" s="561">
        <v>2022</v>
      </c>
      <c r="B55" s="342" t="s">
        <v>118</v>
      </c>
      <c r="E55" s="758">
        <f t="shared" ref="E55:H55" si="18">SUM(E40:E54)</f>
        <v>431362</v>
      </c>
      <c r="F55" s="759">
        <f t="shared" si="18"/>
        <v>699112</v>
      </c>
      <c r="G55" s="759">
        <f t="shared" si="18"/>
        <v>1130474</v>
      </c>
      <c r="H55" s="747">
        <f t="shared" si="18"/>
        <v>1</v>
      </c>
      <c r="N55" s="842"/>
      <c r="Q55" s="758">
        <f>SUM(Q40:Q54)</f>
        <v>3580172.0648400001</v>
      </c>
      <c r="R55" s="747">
        <f>SUM(R40:R54)</f>
        <v>1</v>
      </c>
      <c r="S55" s="758">
        <f>SUM(S40:S54)</f>
        <v>1049.0401833333333</v>
      </c>
      <c r="T55" s="747">
        <f>SUM(T40:T54)</f>
        <v>1</v>
      </c>
    </row>
    <row r="56" spans="1:20" ht="15" customHeight="1" thickBot="1" x14ac:dyDescent="0.3">
      <c r="A56" s="351"/>
      <c r="B56" s="351"/>
      <c r="E56" s="653"/>
      <c r="F56" s="653"/>
      <c r="G56" s="653"/>
      <c r="H56" s="709"/>
    </row>
    <row r="57" spans="1:20" ht="15" customHeight="1" x14ac:dyDescent="0.25">
      <c r="A57" s="339">
        <v>12000</v>
      </c>
      <c r="B57" s="335" t="s">
        <v>5</v>
      </c>
      <c r="E57" s="752">
        <v>12944</v>
      </c>
      <c r="F57" s="753">
        <v>10790</v>
      </c>
      <c r="G57" s="753">
        <f>E57+F57</f>
        <v>23734</v>
      </c>
      <c r="H57" s="732">
        <f>G57/$G$72</f>
        <v>3.4408670741466696E-2</v>
      </c>
      <c r="Q57" s="752">
        <v>309624</v>
      </c>
      <c r="R57" s="732">
        <f>Q57/$Q$72</f>
        <v>8.8494507183010496E-2</v>
      </c>
      <c r="S57" s="752">
        <v>90.351833333333332</v>
      </c>
      <c r="T57" s="732">
        <f>S57/$S$72</f>
        <v>9.0439738605931186E-2</v>
      </c>
    </row>
    <row r="58" spans="1:20" ht="15" customHeight="1" x14ac:dyDescent="0.25">
      <c r="A58" s="340">
        <v>13000</v>
      </c>
      <c r="B58" s="336" t="s">
        <v>6</v>
      </c>
      <c r="E58" s="754">
        <v>9204</v>
      </c>
      <c r="F58" s="755">
        <v>10624</v>
      </c>
      <c r="G58" s="755">
        <f t="shared" ref="G58:G71" si="19">E58+F58</f>
        <v>19828</v>
      </c>
      <c r="H58" s="739">
        <f t="shared" ref="H58:H71" si="20">G58/$G$72</f>
        <v>2.8745897171222789E-2</v>
      </c>
      <c r="Q58" s="754">
        <v>76750</v>
      </c>
      <c r="R58" s="739">
        <f t="shared" ref="R58:R71" si="21">Q58/$Q$72</f>
        <v>2.1936133588791745E-2</v>
      </c>
      <c r="S58" s="754">
        <v>32.669999999999995</v>
      </c>
      <c r="T58" s="739">
        <f t="shared" ref="T58:T71" si="22">S58/$S$72</f>
        <v>3.2701785356752819E-2</v>
      </c>
    </row>
    <row r="59" spans="1:20" ht="15" customHeight="1" x14ac:dyDescent="0.25">
      <c r="A59" s="340">
        <v>16000</v>
      </c>
      <c r="B59" s="336" t="s">
        <v>267</v>
      </c>
      <c r="E59" s="754">
        <v>0</v>
      </c>
      <c r="F59" s="755">
        <v>6022</v>
      </c>
      <c r="G59" s="755">
        <f t="shared" si="19"/>
        <v>6022</v>
      </c>
      <c r="H59" s="739">
        <f t="shared" si="20"/>
        <v>8.730471694830726E-3</v>
      </c>
      <c r="Q59" s="754">
        <v>51968.66421000001</v>
      </c>
      <c r="R59" s="739">
        <f t="shared" si="21"/>
        <v>1.4853310235069975E-2</v>
      </c>
      <c r="S59" s="754">
        <v>30.09</v>
      </c>
      <c r="T59" s="739">
        <f t="shared" si="22"/>
        <v>3.0119275218386671E-2</v>
      </c>
    </row>
    <row r="60" spans="1:20" ht="15" customHeight="1" x14ac:dyDescent="0.25">
      <c r="A60" s="340">
        <v>17000</v>
      </c>
      <c r="B60" s="336" t="s">
        <v>9</v>
      </c>
      <c r="E60" s="754">
        <v>17203</v>
      </c>
      <c r="F60" s="755">
        <v>28536</v>
      </c>
      <c r="G60" s="755">
        <f t="shared" si="19"/>
        <v>45739</v>
      </c>
      <c r="H60" s="739">
        <f t="shared" si="20"/>
        <v>6.6310701569223279E-2</v>
      </c>
      <c r="Q60" s="754">
        <v>113006</v>
      </c>
      <c r="R60" s="739">
        <f t="shared" si="21"/>
        <v>3.2298563027166126E-2</v>
      </c>
      <c r="S60" s="754">
        <v>83.823999999999998</v>
      </c>
      <c r="T60" s="739">
        <f t="shared" si="22"/>
        <v>8.3905554200932014E-2</v>
      </c>
    </row>
    <row r="61" spans="1:20" ht="15" customHeight="1" x14ac:dyDescent="0.25">
      <c r="A61" s="340">
        <v>18000</v>
      </c>
      <c r="B61" s="336" t="s">
        <v>10</v>
      </c>
      <c r="E61" s="754">
        <v>14572</v>
      </c>
      <c r="F61" s="755">
        <v>54719</v>
      </c>
      <c r="G61" s="755">
        <f t="shared" si="19"/>
        <v>69291</v>
      </c>
      <c r="H61" s="739">
        <f t="shared" si="20"/>
        <v>0.10045551547766786</v>
      </c>
      <c r="Q61" s="754">
        <v>140660</v>
      </c>
      <c r="R61" s="739">
        <f t="shared" si="21"/>
        <v>4.0202430626702888E-2</v>
      </c>
      <c r="S61" s="754">
        <v>49.389000000000003</v>
      </c>
      <c r="T61" s="739">
        <f t="shared" si="22"/>
        <v>4.9437051637118624E-2</v>
      </c>
    </row>
    <row r="62" spans="1:20" ht="15" customHeight="1" x14ac:dyDescent="0.25">
      <c r="A62" s="340">
        <v>19000</v>
      </c>
      <c r="B62" s="336" t="s">
        <v>11</v>
      </c>
      <c r="E62" s="754">
        <v>2750</v>
      </c>
      <c r="F62" s="755">
        <v>2469</v>
      </c>
      <c r="G62" s="755">
        <f t="shared" si="19"/>
        <v>5219</v>
      </c>
      <c r="H62" s="739">
        <f t="shared" si="20"/>
        <v>7.5663121513320419E-3</v>
      </c>
      <c r="Q62" s="754">
        <v>22243</v>
      </c>
      <c r="R62" s="739">
        <f t="shared" si="21"/>
        <v>6.3573344549250135E-3</v>
      </c>
      <c r="S62" s="754">
        <v>39.398190476190479</v>
      </c>
      <c r="T62" s="739">
        <f t="shared" si="22"/>
        <v>3.9436521836450703E-2</v>
      </c>
    </row>
    <row r="63" spans="1:20" ht="15" customHeight="1" x14ac:dyDescent="0.25">
      <c r="A63" s="340">
        <v>22000</v>
      </c>
      <c r="B63" s="336" t="s">
        <v>13</v>
      </c>
      <c r="E63" s="754">
        <v>8251</v>
      </c>
      <c r="F63" s="755">
        <v>24658</v>
      </c>
      <c r="G63" s="755">
        <f t="shared" si="19"/>
        <v>32909</v>
      </c>
      <c r="H63" s="739">
        <f t="shared" si="20"/>
        <v>4.7710244603982786E-2</v>
      </c>
      <c r="Q63" s="754">
        <v>665162.17009000003</v>
      </c>
      <c r="R63" s="739">
        <f t="shared" si="21"/>
        <v>0.1901118725902913</v>
      </c>
      <c r="S63" s="754">
        <v>101.37299999999999</v>
      </c>
      <c r="T63" s="739">
        <f t="shared" si="22"/>
        <v>0.1014716280064311</v>
      </c>
    </row>
    <row r="64" spans="1:20" ht="15" customHeight="1" x14ac:dyDescent="0.25">
      <c r="A64" s="340">
        <v>23000</v>
      </c>
      <c r="B64" s="336" t="s">
        <v>14</v>
      </c>
      <c r="E64" s="754">
        <v>25094</v>
      </c>
      <c r="F64" s="755">
        <v>25341</v>
      </c>
      <c r="G64" s="755">
        <f t="shared" si="19"/>
        <v>50435</v>
      </c>
      <c r="H64" s="739">
        <f t="shared" si="20"/>
        <v>7.3118787766321428E-2</v>
      </c>
      <c r="Q64" s="754">
        <v>263460</v>
      </c>
      <c r="R64" s="739">
        <f t="shared" si="21"/>
        <v>7.5300244368769684E-2</v>
      </c>
      <c r="S64" s="754">
        <v>59.408000000000001</v>
      </c>
      <c r="T64" s="739">
        <f t="shared" si="22"/>
        <v>5.9465799341107191E-2</v>
      </c>
    </row>
    <row r="65" spans="1:20" ht="15" customHeight="1" x14ac:dyDescent="0.25">
      <c r="A65" s="340">
        <v>24000</v>
      </c>
      <c r="B65" s="336" t="s">
        <v>15</v>
      </c>
      <c r="E65" s="754">
        <v>8328</v>
      </c>
      <c r="F65" s="755">
        <v>16824</v>
      </c>
      <c r="G65" s="755">
        <f t="shared" si="19"/>
        <v>25152</v>
      </c>
      <c r="H65" s="739">
        <f t="shared" si="20"/>
        <v>3.6464434418529132E-2</v>
      </c>
      <c r="Q65" s="754">
        <v>221618.98699999999</v>
      </c>
      <c r="R65" s="739">
        <f t="shared" si="21"/>
        <v>6.3341546640321836E-2</v>
      </c>
      <c r="S65" s="754">
        <v>67.44</v>
      </c>
      <c r="T65" s="739">
        <f t="shared" si="22"/>
        <v>6.7505613849385082E-2</v>
      </c>
    </row>
    <row r="66" spans="1:20" ht="15" customHeight="1" x14ac:dyDescent="0.25">
      <c r="A66" s="340">
        <v>25000</v>
      </c>
      <c r="B66" s="336" t="s">
        <v>16</v>
      </c>
      <c r="E66" s="754">
        <v>11961</v>
      </c>
      <c r="F66" s="755">
        <v>12883</v>
      </c>
      <c r="G66" s="755">
        <f t="shared" si="19"/>
        <v>24844</v>
      </c>
      <c r="H66" s="739">
        <f t="shared" si="20"/>
        <v>3.6017907470337854E-2</v>
      </c>
      <c r="Q66" s="754">
        <v>153194.47742000004</v>
      </c>
      <c r="R66" s="739">
        <f t="shared" si="21"/>
        <v>4.3784944908798196E-2</v>
      </c>
      <c r="S66" s="754">
        <v>51.32</v>
      </c>
      <c r="T66" s="739">
        <f t="shared" si="22"/>
        <v>5.1369930349205846E-2</v>
      </c>
    </row>
    <row r="67" spans="1:20" ht="15" customHeight="1" x14ac:dyDescent="0.25">
      <c r="A67" s="340">
        <v>27000</v>
      </c>
      <c r="B67" s="336" t="s">
        <v>18</v>
      </c>
      <c r="E67" s="754">
        <v>8786</v>
      </c>
      <c r="F67" s="755">
        <v>44699</v>
      </c>
      <c r="G67" s="755">
        <f t="shared" si="19"/>
        <v>53485</v>
      </c>
      <c r="H67" s="739">
        <f t="shared" si="20"/>
        <v>7.75405643636701E-2</v>
      </c>
      <c r="Q67" s="754">
        <v>600548</v>
      </c>
      <c r="R67" s="739">
        <f t="shared" si="21"/>
        <v>0.17164431471637401</v>
      </c>
      <c r="S67" s="754">
        <v>64.890999999999991</v>
      </c>
      <c r="T67" s="739">
        <f t="shared" si="22"/>
        <v>6.4954133871596181E-2</v>
      </c>
    </row>
    <row r="68" spans="1:20" ht="15" customHeight="1" x14ac:dyDescent="0.25">
      <c r="A68" s="340">
        <v>28000</v>
      </c>
      <c r="B68" s="336" t="s">
        <v>19</v>
      </c>
      <c r="E68" s="754">
        <v>16986</v>
      </c>
      <c r="F68" s="755">
        <v>17413</v>
      </c>
      <c r="G68" s="755">
        <f t="shared" si="19"/>
        <v>34399</v>
      </c>
      <c r="H68" s="739">
        <f t="shared" si="20"/>
        <v>4.9870391203999026E-2</v>
      </c>
      <c r="Q68" s="754">
        <v>111345</v>
      </c>
      <c r="R68" s="739">
        <f t="shared" si="21"/>
        <v>3.1823827940638656E-2</v>
      </c>
      <c r="S68" s="754">
        <v>76.541999999999987</v>
      </c>
      <c r="T68" s="739">
        <f t="shared" si="22"/>
        <v>7.6616469384039626E-2</v>
      </c>
    </row>
    <row r="69" spans="1:20" ht="15" customHeight="1" x14ac:dyDescent="0.25">
      <c r="A69" s="340">
        <v>31000</v>
      </c>
      <c r="B69" s="336" t="s">
        <v>20</v>
      </c>
      <c r="E69" s="754">
        <v>66820</v>
      </c>
      <c r="F69" s="755">
        <v>57401</v>
      </c>
      <c r="G69" s="755">
        <f t="shared" si="19"/>
        <v>124221</v>
      </c>
      <c r="H69" s="739">
        <f t="shared" si="20"/>
        <v>0.18009098711450808</v>
      </c>
      <c r="Q69" s="754">
        <v>106851.15062999999</v>
      </c>
      <c r="R69" s="739">
        <f t="shared" si="21"/>
        <v>3.0539428199814842E-2</v>
      </c>
      <c r="S69" s="754">
        <v>38.982999999999997</v>
      </c>
      <c r="T69" s="739">
        <f t="shared" si="22"/>
        <v>3.9020927412375124E-2</v>
      </c>
    </row>
    <row r="70" spans="1:20" ht="15" customHeight="1" x14ac:dyDescent="0.25">
      <c r="A70" s="340">
        <v>41000</v>
      </c>
      <c r="B70" s="336" t="s">
        <v>21</v>
      </c>
      <c r="E70" s="754">
        <v>38529</v>
      </c>
      <c r="F70" s="755">
        <v>75400</v>
      </c>
      <c r="G70" s="755">
        <f t="shared" si="19"/>
        <v>113929</v>
      </c>
      <c r="H70" s="739">
        <f t="shared" si="20"/>
        <v>0.16517002818338919</v>
      </c>
      <c r="Q70" s="754">
        <v>400144</v>
      </c>
      <c r="R70" s="739">
        <f t="shared" si="21"/>
        <v>0.11436628324108775</v>
      </c>
      <c r="S70" s="754">
        <v>138.63499999999999</v>
      </c>
      <c r="T70" s="739">
        <f t="shared" si="22"/>
        <v>0.13876988102030693</v>
      </c>
    </row>
    <row r="71" spans="1:20" ht="15" customHeight="1" thickBot="1" x14ac:dyDescent="0.3">
      <c r="A71" s="341">
        <v>43000</v>
      </c>
      <c r="B71" s="338" t="s">
        <v>22</v>
      </c>
      <c r="E71" s="756">
        <v>17638</v>
      </c>
      <c r="F71" s="755">
        <v>42923</v>
      </c>
      <c r="G71" s="757">
        <f t="shared" si="19"/>
        <v>60561</v>
      </c>
      <c r="H71" s="745">
        <f t="shared" si="20"/>
        <v>8.7799086069519028E-2</v>
      </c>
      <c r="Q71" s="754">
        <v>262217.97700000001</v>
      </c>
      <c r="R71" s="739">
        <f t="shared" si="21"/>
        <v>7.494525827823742E-2</v>
      </c>
      <c r="S71" s="754">
        <v>74.713000000000008</v>
      </c>
      <c r="T71" s="739">
        <f t="shared" si="22"/>
        <v>7.4785689909980843E-2</v>
      </c>
    </row>
    <row r="72" spans="1:20" ht="15" customHeight="1" thickBot="1" x14ac:dyDescent="0.3">
      <c r="A72" s="561">
        <v>2021</v>
      </c>
      <c r="B72" s="342" t="s">
        <v>118</v>
      </c>
      <c r="E72" s="758">
        <f>SUM(E57:E71)</f>
        <v>259066</v>
      </c>
      <c r="F72" s="759">
        <f>SUM(F57:F71)</f>
        <v>430702</v>
      </c>
      <c r="G72" s="759">
        <f>SUM(G57:G71)</f>
        <v>689768</v>
      </c>
      <c r="H72" s="747">
        <f>SUM(H57:H71)</f>
        <v>1</v>
      </c>
      <c r="Q72" s="758">
        <f>SUM(Q57:Q71)</f>
        <v>3498793.4263500003</v>
      </c>
      <c r="R72" s="747">
        <f>SUM(R57:R71)</f>
        <v>1</v>
      </c>
      <c r="S72" s="758">
        <f>SUM(S57:S71)</f>
        <v>999.0280238095238</v>
      </c>
      <c r="T72" s="747">
        <f>SUM(T57:T71)</f>
        <v>1.0000000000000002</v>
      </c>
    </row>
    <row r="73" spans="1:20" ht="15" customHeight="1" thickBot="1" x14ac:dyDescent="0.3">
      <c r="E73" s="11"/>
      <c r="F73" s="11"/>
      <c r="G73" s="11"/>
    </row>
    <row r="74" spans="1:20" ht="15" customHeight="1" x14ac:dyDescent="0.25">
      <c r="A74" s="339">
        <v>12000</v>
      </c>
      <c r="B74" s="335" t="s">
        <v>5</v>
      </c>
      <c r="E74" s="11"/>
      <c r="F74" s="11"/>
      <c r="G74" s="11"/>
      <c r="Q74" s="752">
        <v>299539</v>
      </c>
      <c r="R74" s="732">
        <f>Q74/$Q$89</f>
        <v>9.2417985794303062E-2</v>
      </c>
      <c r="S74" s="752">
        <v>88.014166666666654</v>
      </c>
      <c r="T74" s="732">
        <f>S74/$S$89</f>
        <v>9.2331604781908272E-2</v>
      </c>
    </row>
    <row r="75" spans="1:20" ht="15" customHeight="1" x14ac:dyDescent="0.25">
      <c r="A75" s="340">
        <v>13000</v>
      </c>
      <c r="B75" s="336" t="s">
        <v>6</v>
      </c>
      <c r="Q75" s="754">
        <v>63241.3</v>
      </c>
      <c r="R75" s="739">
        <f t="shared" ref="R75:R88" si="23">Q75/$Q$89</f>
        <v>1.9512095470083222E-2</v>
      </c>
      <c r="S75" s="754">
        <v>26.16</v>
      </c>
      <c r="T75" s="739">
        <f t="shared" ref="T75:T88" si="24">S75/$S$89</f>
        <v>2.7443250019539133E-2</v>
      </c>
    </row>
    <row r="76" spans="1:20" ht="15" customHeight="1" x14ac:dyDescent="0.25">
      <c r="A76" s="340">
        <v>16000</v>
      </c>
      <c r="B76" s="336" t="s">
        <v>267</v>
      </c>
      <c r="Q76" s="754">
        <v>41052.07499999999</v>
      </c>
      <c r="R76" s="739">
        <f t="shared" si="23"/>
        <v>1.2665963644722934E-2</v>
      </c>
      <c r="S76" s="754">
        <v>36.549999999999997</v>
      </c>
      <c r="T76" s="739">
        <f t="shared" si="24"/>
        <v>3.8342920038767402E-2</v>
      </c>
    </row>
    <row r="77" spans="1:20" ht="15" customHeight="1" x14ac:dyDescent="0.25">
      <c r="A77" s="340">
        <v>17000</v>
      </c>
      <c r="B77" s="336" t="s">
        <v>9</v>
      </c>
      <c r="Q77" s="754">
        <v>113355</v>
      </c>
      <c r="R77" s="739">
        <f t="shared" si="23"/>
        <v>3.497387912663534E-2</v>
      </c>
      <c r="S77" s="754">
        <v>80.03</v>
      </c>
      <c r="T77" s="739">
        <f t="shared" si="24"/>
        <v>8.3955783603353096E-2</v>
      </c>
    </row>
    <row r="78" spans="1:20" ht="15" customHeight="1" x14ac:dyDescent="0.25">
      <c r="A78" s="340">
        <v>18000</v>
      </c>
      <c r="B78" s="336" t="s">
        <v>10</v>
      </c>
      <c r="Q78" s="754">
        <v>106611</v>
      </c>
      <c r="R78" s="739">
        <f t="shared" si="23"/>
        <v>3.2893125381057035E-2</v>
      </c>
      <c r="S78" s="754">
        <v>42.830999999999996</v>
      </c>
      <c r="T78" s="739">
        <f t="shared" si="24"/>
        <v>4.4932027583596351E-2</v>
      </c>
    </row>
    <row r="79" spans="1:20" ht="15" customHeight="1" x14ac:dyDescent="0.25">
      <c r="A79" s="340">
        <v>19000</v>
      </c>
      <c r="B79" s="336" t="s">
        <v>11</v>
      </c>
      <c r="Q79" s="754">
        <v>21625</v>
      </c>
      <c r="R79" s="739">
        <f t="shared" si="23"/>
        <v>6.6720491915971004E-3</v>
      </c>
      <c r="S79" s="754">
        <v>37.450000000000003</v>
      </c>
      <c r="T79" s="739">
        <f t="shared" si="24"/>
        <v>3.928706854861394E-2</v>
      </c>
    </row>
    <row r="80" spans="1:20" ht="15" customHeight="1" x14ac:dyDescent="0.25">
      <c r="A80" s="340">
        <v>22000</v>
      </c>
      <c r="B80" s="336" t="s">
        <v>13</v>
      </c>
      <c r="Q80" s="754">
        <v>615429.12308000005</v>
      </c>
      <c r="R80" s="739">
        <f t="shared" si="23"/>
        <v>0.18988085008699312</v>
      </c>
      <c r="S80" s="754">
        <v>92.820000000000007</v>
      </c>
      <c r="T80" s="739">
        <f t="shared" si="24"/>
        <v>9.7373182982172124E-2</v>
      </c>
    </row>
    <row r="81" spans="1:20" ht="15" customHeight="1" x14ac:dyDescent="0.25">
      <c r="A81" s="340">
        <v>23000</v>
      </c>
      <c r="B81" s="336" t="s">
        <v>14</v>
      </c>
      <c r="Q81" s="754">
        <v>255621</v>
      </c>
      <c r="R81" s="739">
        <f t="shared" si="23"/>
        <v>7.8867786654577679E-2</v>
      </c>
      <c r="S81" s="754">
        <v>65.179999999999993</v>
      </c>
      <c r="T81" s="739">
        <f t="shared" si="24"/>
        <v>6.8377333190885348E-2</v>
      </c>
    </row>
    <row r="82" spans="1:20" ht="15" customHeight="1" x14ac:dyDescent="0.25">
      <c r="A82" s="340">
        <v>24000</v>
      </c>
      <c r="B82" s="336" t="s">
        <v>15</v>
      </c>
      <c r="Q82" s="754">
        <v>117107.19656</v>
      </c>
      <c r="R82" s="739">
        <f t="shared" si="23"/>
        <v>3.6131559590212747E-2</v>
      </c>
      <c r="S82" s="754">
        <v>62.777700381679388</v>
      </c>
      <c r="T82" s="739">
        <f t="shared" si="24"/>
        <v>6.585719140772725E-2</v>
      </c>
    </row>
    <row r="83" spans="1:20" ht="15" customHeight="1" x14ac:dyDescent="0.25">
      <c r="A83" s="340">
        <v>25000</v>
      </c>
      <c r="B83" s="336" t="s">
        <v>16</v>
      </c>
      <c r="Q83" s="754">
        <v>152938.08707000004</v>
      </c>
      <c r="R83" s="739">
        <f t="shared" si="23"/>
        <v>4.7186609951435872E-2</v>
      </c>
      <c r="S83" s="754">
        <v>49.47</v>
      </c>
      <c r="T83" s="739">
        <f t="shared" si="24"/>
        <v>5.1896696424564258E-2</v>
      </c>
    </row>
    <row r="84" spans="1:20" ht="15" customHeight="1" x14ac:dyDescent="0.25">
      <c r="A84" s="340">
        <v>27000</v>
      </c>
      <c r="B84" s="336" t="s">
        <v>18</v>
      </c>
      <c r="Q84" s="754">
        <v>641350</v>
      </c>
      <c r="R84" s="739">
        <f t="shared" si="23"/>
        <v>0.19787832365460348</v>
      </c>
      <c r="S84" s="754">
        <v>71.242000000000004</v>
      </c>
      <c r="T84" s="739">
        <f t="shared" si="24"/>
        <v>7.4736697931651649E-2</v>
      </c>
    </row>
    <row r="85" spans="1:20" ht="15" customHeight="1" x14ac:dyDescent="0.25">
      <c r="A85" s="340">
        <v>28000</v>
      </c>
      <c r="B85" s="336" t="s">
        <v>19</v>
      </c>
      <c r="Q85" s="754">
        <v>92274</v>
      </c>
      <c r="R85" s="739">
        <f t="shared" si="23"/>
        <v>2.8469672467303159E-2</v>
      </c>
      <c r="S85" s="754">
        <v>72.974000000000004</v>
      </c>
      <c r="T85" s="739">
        <f t="shared" si="24"/>
        <v>7.6553659286156303E-2</v>
      </c>
    </row>
    <row r="86" spans="1:20" ht="15" customHeight="1" x14ac:dyDescent="0.25">
      <c r="A86" s="340">
        <v>31000</v>
      </c>
      <c r="B86" s="336" t="s">
        <v>20</v>
      </c>
      <c r="Q86" s="754">
        <v>108874.39627</v>
      </c>
      <c r="R86" s="739">
        <f t="shared" si="23"/>
        <v>3.3591460236711022E-2</v>
      </c>
      <c r="S86" s="754">
        <v>38.982999999999997</v>
      </c>
      <c r="T86" s="739">
        <f t="shared" si="24"/>
        <v>4.0895268177052524E-2</v>
      </c>
    </row>
    <row r="87" spans="1:20" ht="15" customHeight="1" x14ac:dyDescent="0.25">
      <c r="A87" s="340">
        <v>41000</v>
      </c>
      <c r="B87" s="336" t="s">
        <v>21</v>
      </c>
      <c r="Q87" s="754">
        <v>346190</v>
      </c>
      <c r="R87" s="739">
        <f t="shared" si="23"/>
        <v>0.10681140853821966</v>
      </c>
      <c r="S87" s="754">
        <v>126.685</v>
      </c>
      <c r="T87" s="739">
        <f t="shared" si="24"/>
        <v>0.13289939329989736</v>
      </c>
    </row>
    <row r="88" spans="1:20" ht="15" customHeight="1" thickBot="1" x14ac:dyDescent="0.3">
      <c r="A88" s="341">
        <v>43000</v>
      </c>
      <c r="B88" s="338" t="s">
        <v>22</v>
      </c>
      <c r="Q88" s="754">
        <v>265926</v>
      </c>
      <c r="R88" s="739">
        <f t="shared" si="23"/>
        <v>8.2047230211544531E-2</v>
      </c>
      <c r="S88" s="754">
        <v>62.073000000000008</v>
      </c>
      <c r="T88" s="739">
        <f t="shared" si="24"/>
        <v>6.5117922724115165E-2</v>
      </c>
    </row>
    <row r="89" spans="1:20" ht="15" customHeight="1" thickBot="1" x14ac:dyDescent="0.3">
      <c r="A89" s="561">
        <v>2020</v>
      </c>
      <c r="B89" s="342" t="s">
        <v>118</v>
      </c>
      <c r="Q89" s="758">
        <f>SUM(Q74:Q88)</f>
        <v>3241133.1779800002</v>
      </c>
      <c r="R89" s="747">
        <f>SUM(R74:R88)</f>
        <v>0.99999999999999978</v>
      </c>
      <c r="S89" s="758">
        <f>SUM(S74:S88)</f>
        <v>953.2398670483459</v>
      </c>
      <c r="T89" s="747">
        <f>SUM(T74:T88)</f>
        <v>1.0000000000000002</v>
      </c>
    </row>
    <row r="90" spans="1:20" ht="15" customHeight="1" x14ac:dyDescent="0.25"/>
    <row r="91" spans="1:20" x14ac:dyDescent="0.25">
      <c r="A91" s="609" t="s">
        <v>252</v>
      </c>
    </row>
  </sheetData>
  <mergeCells count="14">
    <mergeCell ref="A3:B3"/>
    <mergeCell ref="A4:A5"/>
    <mergeCell ref="B4:B5"/>
    <mergeCell ref="C4:D4"/>
    <mergeCell ref="E4:H4"/>
    <mergeCell ref="V4:V5"/>
    <mergeCell ref="A21:B21"/>
    <mergeCell ref="K4:L4"/>
    <mergeCell ref="M4:N4"/>
    <mergeCell ref="O4:P4"/>
    <mergeCell ref="Q4:R4"/>
    <mergeCell ref="S4:T4"/>
    <mergeCell ref="U4:U5"/>
    <mergeCell ref="I4:J4"/>
  </mergeCells>
  <hyperlinks>
    <hyperlink ref="A91" location="'0 Seznam'!A1" display="Seznam" xr:uid="{2C7935D0-7381-4E9E-9576-505719634772}"/>
  </hyperlinks>
  <pageMargins left="0.70866141732283472" right="0.70866141732283472" top="0.78740157480314965" bottom="0.78740157480314965" header="0.31496062992125984" footer="0.31496062992125984"/>
  <pageSetup paperSize="8" scale="73" orientation="landscape" r:id="rId1"/>
  <headerFooter>
    <oddHeader xml:space="preserve">&amp;LČ. j.:999/2024-1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C2E6"/>
  </sheetPr>
  <dimension ref="A1:V42"/>
  <sheetViews>
    <sheetView zoomScale="85" zoomScaleNormal="85" workbookViewId="0">
      <selection activeCell="B28" sqref="B28"/>
    </sheetView>
  </sheetViews>
  <sheetFormatPr defaultRowHeight="15" x14ac:dyDescent="0.25"/>
  <cols>
    <col min="1" max="1" width="10.5703125" customWidth="1"/>
    <col min="2" max="2" width="52.28515625" customWidth="1"/>
    <col min="3" max="20" width="10.85546875" customWidth="1"/>
    <col min="21" max="22" width="15.7109375" customWidth="1"/>
  </cols>
  <sheetData>
    <row r="1" spans="1:22" ht="27.75" x14ac:dyDescent="0.25">
      <c r="A1" s="308" t="s">
        <v>314</v>
      </c>
    </row>
    <row r="2" spans="1:22" ht="15.75" thickBot="1" x14ac:dyDescent="0.3"/>
    <row r="3" spans="1:22" ht="15.75" thickBot="1" x14ac:dyDescent="0.3">
      <c r="A3" s="961" t="s">
        <v>107</v>
      </c>
      <c r="B3" s="962"/>
      <c r="C3" s="309"/>
      <c r="D3" s="677">
        <v>0.15</v>
      </c>
      <c r="E3" s="676"/>
      <c r="F3" s="729"/>
      <c r="G3" s="729"/>
      <c r="H3" s="677">
        <v>0.22</v>
      </c>
      <c r="I3" s="676"/>
      <c r="J3" s="677">
        <v>0.1</v>
      </c>
      <c r="K3" s="676"/>
      <c r="L3" s="677">
        <v>0.3</v>
      </c>
      <c r="M3" s="676"/>
      <c r="N3" s="677">
        <v>0.03</v>
      </c>
      <c r="O3" s="676"/>
      <c r="P3" s="677">
        <v>3.5000000000000003E-2</v>
      </c>
      <c r="Q3" s="676"/>
      <c r="R3" s="677">
        <v>6.5000000000000002E-2</v>
      </c>
      <c r="S3" s="676"/>
      <c r="T3" s="677">
        <v>0.1</v>
      </c>
      <c r="U3" s="730">
        <f>SUM(C3:T3)</f>
        <v>1.0000000000000002</v>
      </c>
      <c r="V3" s="679">
        <v>0.54400690933250961</v>
      </c>
    </row>
    <row r="4" spans="1:22" ht="30" customHeight="1" x14ac:dyDescent="0.25">
      <c r="A4" s="963" t="s">
        <v>2</v>
      </c>
      <c r="B4" s="965" t="s">
        <v>3</v>
      </c>
      <c r="C4" s="955" t="s">
        <v>119</v>
      </c>
      <c r="D4" s="956"/>
      <c r="E4" s="976" t="s">
        <v>108</v>
      </c>
      <c r="F4" s="977"/>
      <c r="G4" s="977"/>
      <c r="H4" s="978"/>
      <c r="I4" s="955" t="s">
        <v>109</v>
      </c>
      <c r="J4" s="956"/>
      <c r="K4" s="963" t="s">
        <v>110</v>
      </c>
      <c r="L4" s="975"/>
      <c r="M4" s="963" t="s">
        <v>111</v>
      </c>
      <c r="N4" s="975"/>
      <c r="O4" s="963" t="s">
        <v>162</v>
      </c>
      <c r="P4" s="975"/>
      <c r="Q4" s="963" t="s">
        <v>112</v>
      </c>
      <c r="R4" s="975"/>
      <c r="S4" s="963" t="s">
        <v>121</v>
      </c>
      <c r="T4" s="975"/>
      <c r="U4" s="957" t="s">
        <v>113</v>
      </c>
      <c r="V4" s="957" t="s">
        <v>114</v>
      </c>
    </row>
    <row r="5" spans="1:22" ht="15.75" thickBot="1" x14ac:dyDescent="0.3">
      <c r="A5" s="964"/>
      <c r="B5" s="966"/>
      <c r="C5" s="315" t="s">
        <v>28</v>
      </c>
      <c r="D5" s="316" t="s">
        <v>117</v>
      </c>
      <c r="E5" s="311" t="s">
        <v>115</v>
      </c>
      <c r="F5" s="312" t="s">
        <v>116</v>
      </c>
      <c r="G5" s="313" t="s">
        <v>28</v>
      </c>
      <c r="H5" s="314" t="s">
        <v>117</v>
      </c>
      <c r="I5" s="315" t="s">
        <v>28</v>
      </c>
      <c r="J5" s="316" t="s">
        <v>117</v>
      </c>
      <c r="K5" s="315" t="s">
        <v>28</v>
      </c>
      <c r="L5" s="316" t="s">
        <v>117</v>
      </c>
      <c r="M5" s="315" t="s">
        <v>28</v>
      </c>
      <c r="N5" s="316" t="s">
        <v>117</v>
      </c>
      <c r="O5" s="315" t="s">
        <v>28</v>
      </c>
      <c r="P5" s="316" t="s">
        <v>117</v>
      </c>
      <c r="Q5" s="315" t="s">
        <v>28</v>
      </c>
      <c r="R5" s="316" t="s">
        <v>117</v>
      </c>
      <c r="S5" s="315" t="s">
        <v>28</v>
      </c>
      <c r="T5" s="316" t="s">
        <v>117</v>
      </c>
      <c r="U5" s="958"/>
      <c r="V5" s="958"/>
    </row>
    <row r="6" spans="1:22" x14ac:dyDescent="0.25">
      <c r="A6" s="343">
        <v>11000</v>
      </c>
      <c r="B6" s="344" t="s">
        <v>4</v>
      </c>
      <c r="C6" s="760"/>
      <c r="D6" s="761">
        <f>D13</f>
        <v>0.32373662520715368</v>
      </c>
      <c r="E6" s="760"/>
      <c r="F6" s="762"/>
      <c r="G6" s="763"/>
      <c r="H6" s="761">
        <f>0.5*H13+0.3*H20+0.2*H27</f>
        <v>0.39154959649313026</v>
      </c>
      <c r="I6" s="760"/>
      <c r="J6" s="761">
        <f>J13</f>
        <v>0.34645465784585605</v>
      </c>
      <c r="K6" s="760"/>
      <c r="L6" s="764">
        <f>L13</f>
        <v>0.40628027014470736</v>
      </c>
      <c r="M6" s="760"/>
      <c r="N6" s="761">
        <f>N13</f>
        <v>6.791165764837627E-2</v>
      </c>
      <c r="O6" s="760"/>
      <c r="P6" s="764">
        <f>P13</f>
        <v>0.6478679359849272</v>
      </c>
      <c r="Q6" s="760"/>
      <c r="R6" s="761">
        <f>0.5*R20+0.3*R27+0.2*R34</f>
        <v>0.32032817969519023</v>
      </c>
      <c r="S6" s="760"/>
      <c r="T6" s="761">
        <f>0.5*T20+0.3*T27+0.2*T34</f>
        <v>0.37430598062052656</v>
      </c>
      <c r="U6" s="765">
        <f t="array" ref="U6">SUM($C$3:$T$3*C6:T6)</f>
        <v>0.37419560906872329</v>
      </c>
      <c r="V6" s="766">
        <f>U6*$V$3</f>
        <v>0.20356499677527215</v>
      </c>
    </row>
    <row r="7" spans="1:22" x14ac:dyDescent="0.25">
      <c r="A7" s="343">
        <v>14000</v>
      </c>
      <c r="B7" s="345" t="s">
        <v>7</v>
      </c>
      <c r="C7" s="767"/>
      <c r="D7" s="768">
        <f t="shared" ref="D7:D10" si="0">D14</f>
        <v>0.25088747586004423</v>
      </c>
      <c r="E7" s="762"/>
      <c r="F7" s="762"/>
      <c r="G7" s="762"/>
      <c r="H7" s="769">
        <f t="shared" ref="H7:H10" si="1">0.5*H14+0.3*H21+0.2*H28</f>
        <v>0.27668177356725665</v>
      </c>
      <c r="I7" s="767"/>
      <c r="J7" s="768">
        <f t="shared" ref="J7:J10" si="2">J14</f>
        <v>0.22165064742633633</v>
      </c>
      <c r="K7" s="767"/>
      <c r="L7" s="769">
        <f t="shared" ref="L7:L10" si="3">L14</f>
        <v>0.18268513381085821</v>
      </c>
      <c r="M7" s="767"/>
      <c r="N7" s="768">
        <f t="shared" ref="N7:N10" si="4">N14</f>
        <v>4.0206545328889079E-2</v>
      </c>
      <c r="O7" s="767"/>
      <c r="P7" s="769">
        <f t="shared" ref="P7:P10" si="5">P14</f>
        <v>0.20482504291297493</v>
      </c>
      <c r="Q7" s="767"/>
      <c r="R7" s="768">
        <f t="shared" ref="R7:T10" si="6">0.5*R21+0.3*R28+0.2*R35</f>
        <v>0.25034428102801942</v>
      </c>
      <c r="S7" s="767"/>
      <c r="T7" s="768">
        <f t="shared" si="6"/>
        <v>0.24884658403121504</v>
      </c>
      <c r="U7" s="770">
        <f t="array" ref="U7">SUM($C$3:$T$3*C7:T7)</f>
        <v>0.22500582598145777</v>
      </c>
      <c r="V7" s="771">
        <f>U7*$V$3</f>
        <v>0.12240472397398133</v>
      </c>
    </row>
    <row r="8" spans="1:22" x14ac:dyDescent="0.25">
      <c r="A8" s="343">
        <v>15000</v>
      </c>
      <c r="B8" s="345" t="s">
        <v>8</v>
      </c>
      <c r="C8" s="767"/>
      <c r="D8" s="768">
        <f t="shared" si="0"/>
        <v>0.16310323318975045</v>
      </c>
      <c r="E8" s="762"/>
      <c r="F8" s="762"/>
      <c r="G8" s="762"/>
      <c r="H8" s="769">
        <f t="shared" si="1"/>
        <v>0.10521524810396027</v>
      </c>
      <c r="I8" s="767"/>
      <c r="J8" s="768">
        <f t="shared" si="2"/>
        <v>0.16533372030387442</v>
      </c>
      <c r="K8" s="767"/>
      <c r="L8" s="769">
        <f t="shared" si="3"/>
        <v>0.1346240493981917</v>
      </c>
      <c r="M8" s="767"/>
      <c r="N8" s="768">
        <f t="shared" si="4"/>
        <v>6.6125201456259164E-2</v>
      </c>
      <c r="O8" s="767"/>
      <c r="P8" s="769">
        <f t="shared" si="5"/>
        <v>6.841386274082023E-2</v>
      </c>
      <c r="Q8" s="767"/>
      <c r="R8" s="768">
        <f t="shared" si="6"/>
        <v>7.6605981085452274E-2</v>
      </c>
      <c r="S8" s="767"/>
      <c r="T8" s="768">
        <f t="shared" si="6"/>
        <v>0.14561027235826632</v>
      </c>
      <c r="U8" s="770">
        <f t="array" ref="U8">SUM($C$3:$T$3*C8:T8)</f>
        <v>0.12845208365717631</v>
      </c>
      <c r="V8" s="771">
        <f>U8*$V$3</f>
        <v>6.987882102766145E-2</v>
      </c>
    </row>
    <row r="9" spans="1:22" x14ac:dyDescent="0.25">
      <c r="A9" s="343">
        <v>21000</v>
      </c>
      <c r="B9" s="345" t="s">
        <v>12</v>
      </c>
      <c r="C9" s="767"/>
      <c r="D9" s="768">
        <f t="shared" si="0"/>
        <v>0.1254916714976094</v>
      </c>
      <c r="E9" s="762"/>
      <c r="F9" s="762"/>
      <c r="G9" s="762"/>
      <c r="H9" s="769">
        <f t="shared" si="1"/>
        <v>0.14111875026087686</v>
      </c>
      <c r="I9" s="767"/>
      <c r="J9" s="768">
        <f t="shared" si="2"/>
        <v>0.13895551741776191</v>
      </c>
      <c r="K9" s="767"/>
      <c r="L9" s="769">
        <f t="shared" si="3"/>
        <v>0.17017457714269066</v>
      </c>
      <c r="M9" s="767"/>
      <c r="N9" s="768">
        <f t="shared" si="4"/>
        <v>0.40234505401845522</v>
      </c>
      <c r="O9" s="767"/>
      <c r="P9" s="769">
        <f t="shared" si="5"/>
        <v>5.7383950397570327E-2</v>
      </c>
      <c r="Q9" s="767"/>
      <c r="R9" s="768">
        <f t="shared" si="6"/>
        <v>0.20356325770339101</v>
      </c>
      <c r="S9" s="767"/>
      <c r="T9" s="768">
        <f t="shared" si="6"/>
        <v>0.15470682924507098</v>
      </c>
      <c r="U9" s="770">
        <f t="array" ref="U9">SUM($C$3:$T$3*C9:T9)</f>
        <v>0.15759888522631382</v>
      </c>
      <c r="V9" s="771">
        <f>U9*$V$3</f>
        <v>8.5734882466215898E-2</v>
      </c>
    </row>
    <row r="10" spans="1:22" ht="15.75" thickBot="1" x14ac:dyDescent="0.3">
      <c r="A10" s="346">
        <v>26000</v>
      </c>
      <c r="B10" s="347" t="s">
        <v>17</v>
      </c>
      <c r="C10" s="767"/>
      <c r="D10" s="768">
        <f t="shared" si="0"/>
        <v>0.13678099424544224</v>
      </c>
      <c r="E10" s="772"/>
      <c r="F10" s="762"/>
      <c r="G10" s="773"/>
      <c r="H10" s="774">
        <f t="shared" si="1"/>
        <v>8.5434631574775988E-2</v>
      </c>
      <c r="I10" s="767"/>
      <c r="J10" s="768">
        <f t="shared" si="2"/>
        <v>0.12760545700617121</v>
      </c>
      <c r="K10" s="767"/>
      <c r="L10" s="769">
        <f t="shared" si="3"/>
        <v>0.1062359695035521</v>
      </c>
      <c r="M10" s="767"/>
      <c r="N10" s="768">
        <f t="shared" si="4"/>
        <v>0.42341154154802035</v>
      </c>
      <c r="O10" s="767"/>
      <c r="P10" s="769">
        <f t="shared" si="5"/>
        <v>2.1509207963707262E-2</v>
      </c>
      <c r="Q10" s="767"/>
      <c r="R10" s="768">
        <f t="shared" si="6"/>
        <v>0.14915830048794715</v>
      </c>
      <c r="S10" s="767"/>
      <c r="T10" s="768">
        <f t="shared" si="6"/>
        <v>7.6530333744921075E-2</v>
      </c>
      <c r="U10" s="770">
        <f t="array" ref="U10">SUM($C$3:$T$3*C10:T10)</f>
        <v>0.11474759606632884</v>
      </c>
      <c r="V10" s="771">
        <f>U10*$V$3</f>
        <v>6.242348508937879E-2</v>
      </c>
    </row>
    <row r="11" spans="1:22" ht="15.75" thickBot="1" x14ac:dyDescent="0.3">
      <c r="A11" s="979" t="s">
        <v>118</v>
      </c>
      <c r="B11" s="980"/>
      <c r="C11" s="775"/>
      <c r="D11" s="776">
        <f>SUM(D6:D10)</f>
        <v>1</v>
      </c>
      <c r="E11" s="777"/>
      <c r="F11" s="777"/>
      <c r="G11" s="777"/>
      <c r="H11" s="778">
        <f>SUM(H6:H10)</f>
        <v>1</v>
      </c>
      <c r="I11" s="775"/>
      <c r="J11" s="776">
        <f>SUM(J6:J10)</f>
        <v>0.99999999999999989</v>
      </c>
      <c r="K11" s="775"/>
      <c r="L11" s="778">
        <f>SUM(L6:L10)</f>
        <v>1.0000000000000002</v>
      </c>
      <c r="M11" s="775"/>
      <c r="N11" s="776">
        <f>SUM(N6:N10)</f>
        <v>1</v>
      </c>
      <c r="O11" s="775"/>
      <c r="P11" s="778">
        <f>SUM(P6:P10)</f>
        <v>0.99999999999999989</v>
      </c>
      <c r="Q11" s="775"/>
      <c r="R11" s="776">
        <f>SUM(R6:R10)</f>
        <v>1</v>
      </c>
      <c r="S11" s="775"/>
      <c r="T11" s="776">
        <f>SUM(T6:T10)</f>
        <v>1</v>
      </c>
      <c r="U11" s="779">
        <f>SUM(U6:U10)</f>
        <v>1</v>
      </c>
      <c r="V11" s="780">
        <f>SUM(V6:V10)</f>
        <v>0.54400690933250961</v>
      </c>
    </row>
    <row r="12" spans="1:22" ht="15.75" thickBot="1" x14ac:dyDescent="0.3">
      <c r="C12" s="11"/>
      <c r="E12" s="11"/>
      <c r="F12" s="11"/>
      <c r="G12" s="11"/>
      <c r="I12" s="11"/>
      <c r="K12" s="11"/>
      <c r="M12" s="11"/>
      <c r="O12" s="11"/>
      <c r="Q12" s="11"/>
      <c r="S12" s="11"/>
    </row>
    <row r="13" spans="1:22" x14ac:dyDescent="0.25">
      <c r="A13" s="348">
        <v>11000</v>
      </c>
      <c r="B13" s="344" t="s">
        <v>4</v>
      </c>
      <c r="C13" s="760">
        <v>24875.476425603661</v>
      </c>
      <c r="D13" s="764">
        <f>C13/$C$18</f>
        <v>0.32373662520715368</v>
      </c>
      <c r="E13" s="760">
        <v>308525</v>
      </c>
      <c r="F13" s="763">
        <v>501427</v>
      </c>
      <c r="G13" s="763">
        <f>E13+F13</f>
        <v>809952</v>
      </c>
      <c r="H13" s="761">
        <f>G13/$G$18</f>
        <v>0.39583459584358816</v>
      </c>
      <c r="I13" s="760">
        <v>12195.705492595021</v>
      </c>
      <c r="J13" s="761">
        <f>I13/$I$18</f>
        <v>0.34645465784585605</v>
      </c>
      <c r="K13" s="760"/>
      <c r="L13" s="764">
        <v>0.40628027014470736</v>
      </c>
      <c r="M13" s="760">
        <v>13725.599999999999</v>
      </c>
      <c r="N13" s="761">
        <f>M13/$M$18</f>
        <v>6.791165764837627E-2</v>
      </c>
      <c r="O13" s="760"/>
      <c r="P13" s="761">
        <v>0.6478679359849272</v>
      </c>
      <c r="Q13" s="11"/>
      <c r="S13" s="11"/>
      <c r="V13" s="656"/>
    </row>
    <row r="14" spans="1:22" x14ac:dyDescent="0.25">
      <c r="A14" s="343">
        <v>14000</v>
      </c>
      <c r="B14" s="345" t="s">
        <v>7</v>
      </c>
      <c r="C14" s="767">
        <v>19277.848118797992</v>
      </c>
      <c r="D14" s="769">
        <f t="shared" ref="D14:D17" si="7">C14/$C$18</f>
        <v>0.25088747586004423</v>
      </c>
      <c r="E14" s="767">
        <v>215591</v>
      </c>
      <c r="F14" s="762">
        <v>339528</v>
      </c>
      <c r="G14" s="762">
        <f>E14+F14</f>
        <v>555119</v>
      </c>
      <c r="H14" s="768">
        <f t="shared" ref="H14:H17" si="8">G14/$G$18</f>
        <v>0.27129423102862493</v>
      </c>
      <c r="I14" s="767">
        <v>7802.423656423488</v>
      </c>
      <c r="J14" s="768">
        <f t="shared" ref="J14:J17" si="9">I14/$I$18</f>
        <v>0.22165064742633633</v>
      </c>
      <c r="K14" s="767"/>
      <c r="L14" s="769">
        <v>0.18268513381085821</v>
      </c>
      <c r="M14" s="767">
        <v>8126.13</v>
      </c>
      <c r="N14" s="768">
        <f t="shared" ref="N14:N17" si="10">M14/$M$18</f>
        <v>4.0206545328889079E-2</v>
      </c>
      <c r="O14" s="767"/>
      <c r="P14" s="768">
        <v>0.20482504291297493</v>
      </c>
      <c r="Q14" s="11"/>
      <c r="S14" s="11"/>
      <c r="V14" s="656"/>
    </row>
    <row r="15" spans="1:22" x14ac:dyDescent="0.25">
      <c r="A15" s="343">
        <v>15000</v>
      </c>
      <c r="B15" s="345" t="s">
        <v>8</v>
      </c>
      <c r="C15" s="767">
        <v>12532.627809890815</v>
      </c>
      <c r="D15" s="769">
        <f t="shared" si="7"/>
        <v>0.16310323318975045</v>
      </c>
      <c r="E15" s="767">
        <v>102405</v>
      </c>
      <c r="F15" s="762">
        <v>124869</v>
      </c>
      <c r="G15" s="762">
        <f>E15+F15</f>
        <v>227274</v>
      </c>
      <c r="H15" s="768">
        <f t="shared" si="8"/>
        <v>0.11107190541631561</v>
      </c>
      <c r="I15" s="767">
        <v>5819.9862959217189</v>
      </c>
      <c r="J15" s="768">
        <f t="shared" si="9"/>
        <v>0.16533372030387442</v>
      </c>
      <c r="K15" s="767"/>
      <c r="L15" s="769">
        <v>0.1346240493981917</v>
      </c>
      <c r="M15" s="767">
        <v>13364.54</v>
      </c>
      <c r="N15" s="768">
        <f t="shared" si="10"/>
        <v>6.6125201456259164E-2</v>
      </c>
      <c r="O15" s="767"/>
      <c r="P15" s="768">
        <v>6.841386274082023E-2</v>
      </c>
      <c r="Q15" s="11"/>
      <c r="S15" s="11"/>
      <c r="V15" s="656"/>
    </row>
    <row r="16" spans="1:22" x14ac:dyDescent="0.25">
      <c r="A16" s="343">
        <v>21000</v>
      </c>
      <c r="B16" s="345" t="s">
        <v>12</v>
      </c>
      <c r="C16" s="767">
        <v>9642.607208717518</v>
      </c>
      <c r="D16" s="769">
        <f t="shared" si="7"/>
        <v>0.1254916714976094</v>
      </c>
      <c r="E16" s="767">
        <v>76456</v>
      </c>
      <c r="F16" s="762">
        <v>205206</v>
      </c>
      <c r="G16" s="762">
        <f>E16+F16</f>
        <v>281662</v>
      </c>
      <c r="H16" s="768">
        <f t="shared" si="8"/>
        <v>0.13765206325127505</v>
      </c>
      <c r="I16" s="767">
        <v>4891.4353685848473</v>
      </c>
      <c r="J16" s="768">
        <f t="shared" si="9"/>
        <v>0.13895551741776191</v>
      </c>
      <c r="K16" s="767"/>
      <c r="L16" s="769">
        <v>0.17017457714269066</v>
      </c>
      <c r="M16" s="767">
        <v>81317.81</v>
      </c>
      <c r="N16" s="768">
        <f t="shared" si="10"/>
        <v>0.40234505401845522</v>
      </c>
      <c r="O16" s="767"/>
      <c r="P16" s="768">
        <v>5.7383950397570327E-2</v>
      </c>
      <c r="Q16" s="11"/>
      <c r="S16" s="11"/>
      <c r="V16" s="656"/>
    </row>
    <row r="17" spans="1:22" ht="15.75" thickBot="1" x14ac:dyDescent="0.3">
      <c r="A17" s="346">
        <v>26000</v>
      </c>
      <c r="B17" s="347" t="s">
        <v>17</v>
      </c>
      <c r="C17" s="767">
        <v>10510.063220823193</v>
      </c>
      <c r="D17" s="769">
        <f t="shared" si="7"/>
        <v>0.13678099424544224</v>
      </c>
      <c r="E17" s="772">
        <v>68275</v>
      </c>
      <c r="F17" s="762">
        <v>103906</v>
      </c>
      <c r="G17" s="773">
        <f>E17+F17</f>
        <v>172181</v>
      </c>
      <c r="H17" s="774">
        <f t="shared" si="8"/>
        <v>8.4147204460196232E-2</v>
      </c>
      <c r="I17" s="767">
        <v>4491.8968114657555</v>
      </c>
      <c r="J17" s="768">
        <f t="shared" si="9"/>
        <v>0.12760545700617121</v>
      </c>
      <c r="K17" s="767"/>
      <c r="L17" s="769">
        <v>0.1062359695035521</v>
      </c>
      <c r="M17" s="767">
        <v>85575.550000000017</v>
      </c>
      <c r="N17" s="768">
        <f t="shared" si="10"/>
        <v>0.42341154154802035</v>
      </c>
      <c r="O17" s="767"/>
      <c r="P17" s="768">
        <v>2.1509207963707262E-2</v>
      </c>
      <c r="Q17" s="11"/>
      <c r="S17" s="11"/>
      <c r="V17" s="656"/>
    </row>
    <row r="18" spans="1:22" ht="15.75" thickBot="1" x14ac:dyDescent="0.3">
      <c r="A18" s="349">
        <v>2023</v>
      </c>
      <c r="B18" s="350" t="s">
        <v>118</v>
      </c>
      <c r="C18" s="775">
        <f>SUM(C13:C17)</f>
        <v>76838.622783833183</v>
      </c>
      <c r="D18" s="778">
        <f>SUM(D13:D17)</f>
        <v>1</v>
      </c>
      <c r="E18" s="775">
        <f>SUM(E13:E17)</f>
        <v>771252</v>
      </c>
      <c r="F18" s="777">
        <f>SUM(F13:F17)</f>
        <v>1274936</v>
      </c>
      <c r="G18" s="777">
        <f>SUM(G13:G17)</f>
        <v>2046188</v>
      </c>
      <c r="H18" s="776">
        <f t="shared" ref="H18:N18" si="11">SUM(H13:H17)</f>
        <v>0.99999999999999989</v>
      </c>
      <c r="I18" s="775">
        <f t="shared" si="11"/>
        <v>35201.447624990833</v>
      </c>
      <c r="J18" s="776">
        <f t="shared" si="11"/>
        <v>0.99999999999999989</v>
      </c>
      <c r="K18" s="775">
        <f t="shared" si="11"/>
        <v>0</v>
      </c>
      <c r="L18" s="778">
        <f t="shared" si="11"/>
        <v>1.0000000000000002</v>
      </c>
      <c r="M18" s="775">
        <f t="shared" si="11"/>
        <v>202109.63</v>
      </c>
      <c r="N18" s="776">
        <f t="shared" si="11"/>
        <v>1</v>
      </c>
      <c r="O18" s="775"/>
      <c r="P18" s="776">
        <f t="shared" ref="P18" si="12">SUM(P13:P17)</f>
        <v>0.99999999999999989</v>
      </c>
      <c r="Q18" s="11"/>
      <c r="S18" s="11"/>
    </row>
    <row r="19" spans="1:22" ht="15.75" thickBot="1" x14ac:dyDescent="0.3">
      <c r="C19" s="11"/>
      <c r="E19" s="11"/>
      <c r="F19" s="11"/>
      <c r="G19" s="11"/>
      <c r="I19" s="11"/>
      <c r="K19" s="11"/>
      <c r="M19" s="11"/>
      <c r="O19" s="11"/>
      <c r="Q19" s="11"/>
      <c r="S19" s="11"/>
    </row>
    <row r="20" spans="1:22" x14ac:dyDescent="0.25">
      <c r="A20" s="348">
        <v>11000</v>
      </c>
      <c r="B20" s="344" t="s">
        <v>4</v>
      </c>
      <c r="C20" s="11"/>
      <c r="E20" s="760">
        <v>303341</v>
      </c>
      <c r="F20" s="763">
        <v>474404</v>
      </c>
      <c r="G20" s="763">
        <f>E20+F20</f>
        <v>777745</v>
      </c>
      <c r="H20" s="761">
        <f>G20/$G$25</f>
        <v>0.39230101471812912</v>
      </c>
      <c r="I20" s="11"/>
      <c r="K20" s="11"/>
      <c r="M20" s="11"/>
      <c r="O20" s="11"/>
      <c r="Q20" s="760">
        <v>2025553.9409799997</v>
      </c>
      <c r="R20" s="761">
        <f>Q20/$Q$25</f>
        <v>0.31420764677490026</v>
      </c>
      <c r="S20" s="760">
        <v>747.52929999999992</v>
      </c>
      <c r="T20" s="761">
        <f>S20/$S$25</f>
        <v>0.36693881742438972</v>
      </c>
    </row>
    <row r="21" spans="1:22" x14ac:dyDescent="0.25">
      <c r="A21" s="343">
        <v>14000</v>
      </c>
      <c r="B21" s="345" t="s">
        <v>7</v>
      </c>
      <c r="E21" s="767">
        <v>202606</v>
      </c>
      <c r="F21" s="762">
        <v>356450</v>
      </c>
      <c r="G21" s="762">
        <f>E21+F21</f>
        <v>559056</v>
      </c>
      <c r="H21" s="768">
        <f>G21/$G$25</f>
        <v>0.28199247321970361</v>
      </c>
      <c r="O21" s="11"/>
      <c r="Q21" s="767">
        <v>1711535</v>
      </c>
      <c r="R21" s="768">
        <f t="shared" ref="R21:R24" si="13">Q21/$Q$25</f>
        <v>0.26549645202866951</v>
      </c>
      <c r="S21" s="767">
        <v>501.51189999999997</v>
      </c>
      <c r="T21" s="768">
        <f t="shared" ref="T21:T24" si="14">S21/$S$25</f>
        <v>0.2461765492138687</v>
      </c>
    </row>
    <row r="22" spans="1:22" x14ac:dyDescent="0.25">
      <c r="A22" s="343">
        <v>15000</v>
      </c>
      <c r="B22" s="345" t="s">
        <v>8</v>
      </c>
      <c r="E22" s="767">
        <v>86011</v>
      </c>
      <c r="F22" s="762">
        <v>108820</v>
      </c>
      <c r="G22" s="762">
        <f>E22+F22</f>
        <v>194831</v>
      </c>
      <c r="H22" s="768">
        <f>G22/$G$25</f>
        <v>9.8274368846534288E-2</v>
      </c>
      <c r="N22" s="841"/>
      <c r="Q22" s="767">
        <v>481131</v>
      </c>
      <c r="R22" s="768">
        <f t="shared" si="13"/>
        <v>7.4633924203130989E-2</v>
      </c>
      <c r="S22" s="767">
        <v>282.495</v>
      </c>
      <c r="T22" s="768">
        <f t="shared" si="14"/>
        <v>0.13866798428944924</v>
      </c>
    </row>
    <row r="23" spans="1:22" x14ac:dyDescent="0.25">
      <c r="A23" s="343">
        <v>21000</v>
      </c>
      <c r="B23" s="345" t="s">
        <v>12</v>
      </c>
      <c r="E23" s="767">
        <v>73097</v>
      </c>
      <c r="F23" s="762">
        <v>210609</v>
      </c>
      <c r="G23" s="762">
        <f>E23+F23</f>
        <v>283706</v>
      </c>
      <c r="H23" s="768">
        <f>G23/$G$25</f>
        <v>0.14310365438751974</v>
      </c>
      <c r="N23" s="841"/>
      <c r="Q23" s="767">
        <v>1294278.7168700001</v>
      </c>
      <c r="R23" s="768">
        <f t="shared" si="13"/>
        <v>0.20077089119720246</v>
      </c>
      <c r="S23" s="767">
        <v>330.83</v>
      </c>
      <c r="T23" s="768">
        <f t="shared" si="14"/>
        <v>0.16239412818803339</v>
      </c>
    </row>
    <row r="24" spans="1:22" ht="15.75" thickBot="1" x14ac:dyDescent="0.3">
      <c r="A24" s="346">
        <v>26000</v>
      </c>
      <c r="B24" s="347" t="s">
        <v>17</v>
      </c>
      <c r="E24" s="772">
        <v>59898</v>
      </c>
      <c r="F24" s="762">
        <v>107285</v>
      </c>
      <c r="G24" s="773">
        <f>E24+F24</f>
        <v>167183</v>
      </c>
      <c r="H24" s="774">
        <f>G24/$G$25</f>
        <v>8.4328488828113293E-2</v>
      </c>
      <c r="N24" s="841"/>
      <c r="Q24" s="767">
        <v>934047</v>
      </c>
      <c r="R24" s="768">
        <f t="shared" si="13"/>
        <v>0.14489108579609689</v>
      </c>
      <c r="S24" s="767">
        <v>174.83799999999999</v>
      </c>
      <c r="T24" s="768">
        <f t="shared" si="14"/>
        <v>8.5822520884258929E-2</v>
      </c>
    </row>
    <row r="25" spans="1:22" ht="15.75" thickBot="1" x14ac:dyDescent="0.3">
      <c r="A25" s="349">
        <v>2022</v>
      </c>
      <c r="B25" s="350" t="s">
        <v>118</v>
      </c>
      <c r="E25" s="775">
        <f>SUM(E20:E24)</f>
        <v>724953</v>
      </c>
      <c r="F25" s="777">
        <f>SUM(F20:F24)</f>
        <v>1257568</v>
      </c>
      <c r="G25" s="777">
        <f>SUM(G20:G24)</f>
        <v>1982521</v>
      </c>
      <c r="H25" s="776">
        <f t="shared" ref="H25" si="15">SUM(H20:H24)</f>
        <v>1</v>
      </c>
      <c r="N25" s="841"/>
      <c r="Q25" s="775">
        <f>SUM(Q20:Q24)</f>
        <v>6446545.6578499991</v>
      </c>
      <c r="R25" s="776">
        <f>SUM(R20:R24)</f>
        <v>1</v>
      </c>
      <c r="S25" s="775">
        <f>SUM(S20:S24)</f>
        <v>2037.2041999999999</v>
      </c>
      <c r="T25" s="776">
        <f>SUM(T20:T24)</f>
        <v>1</v>
      </c>
    </row>
    <row r="26" spans="1:22" ht="15.75" thickBot="1" x14ac:dyDescent="0.3">
      <c r="E26" s="11"/>
      <c r="F26" s="11"/>
      <c r="G26" s="11"/>
      <c r="N26" s="841"/>
      <c r="Q26" s="11"/>
      <c r="S26" s="11"/>
    </row>
    <row r="27" spans="1:22" x14ac:dyDescent="0.25">
      <c r="A27" s="348">
        <v>11000</v>
      </c>
      <c r="B27" s="344" t="s">
        <v>4</v>
      </c>
      <c r="E27" s="760">
        <v>206898</v>
      </c>
      <c r="F27" s="763">
        <v>260779</v>
      </c>
      <c r="G27" s="763">
        <f>E27+F27</f>
        <v>467677</v>
      </c>
      <c r="H27" s="761">
        <f>G27/$G$32</f>
        <v>0.37970997077948704</v>
      </c>
      <c r="Q27" s="760">
        <v>1988607.4809800002</v>
      </c>
      <c r="R27" s="761">
        <f>Q27/$Q$32</f>
        <v>0.32789573225602947</v>
      </c>
      <c r="S27" s="760">
        <v>702.62800000000016</v>
      </c>
      <c r="T27" s="761">
        <f>S27/$S$32</f>
        <v>0.38654051989113486</v>
      </c>
    </row>
    <row r="28" spans="1:22" x14ac:dyDescent="0.25">
      <c r="A28" s="343">
        <v>14000</v>
      </c>
      <c r="B28" s="345" t="s">
        <v>7</v>
      </c>
      <c r="E28" s="767">
        <v>106230</v>
      </c>
      <c r="F28" s="762">
        <v>241328</v>
      </c>
      <c r="G28" s="762">
        <f>E28+F28</f>
        <v>347558</v>
      </c>
      <c r="H28" s="768">
        <f>G28/$G$32</f>
        <v>0.28218458043516564</v>
      </c>
      <c r="Q28" s="767">
        <v>1432602</v>
      </c>
      <c r="R28" s="768">
        <f>Q28/$Q$32</f>
        <v>0.23621759764775654</v>
      </c>
      <c r="S28" s="767">
        <v>457.74239999999992</v>
      </c>
      <c r="T28" s="768">
        <f>S28/$S$32</f>
        <v>0.25182028793645533</v>
      </c>
    </row>
    <row r="29" spans="1:22" x14ac:dyDescent="0.25">
      <c r="A29" s="343">
        <v>15000</v>
      </c>
      <c r="B29" s="345" t="s">
        <v>8</v>
      </c>
      <c r="E29" s="767">
        <v>54090</v>
      </c>
      <c r="F29" s="762">
        <v>70290</v>
      </c>
      <c r="G29" s="762">
        <f>E29+F29</f>
        <v>124380</v>
      </c>
      <c r="H29" s="768">
        <f>G29/$G$32</f>
        <v>0.10098492370921083</v>
      </c>
      <c r="Q29" s="767">
        <v>470810</v>
      </c>
      <c r="R29" s="768">
        <f>Q29/$Q$32</f>
        <v>7.7630498316029334E-2</v>
      </c>
      <c r="S29" s="767">
        <v>269.2</v>
      </c>
      <c r="T29" s="768">
        <f>S29/$S$32</f>
        <v>0.14809644357283439</v>
      </c>
    </row>
    <row r="30" spans="1:22" x14ac:dyDescent="0.25">
      <c r="A30" s="343">
        <v>21000</v>
      </c>
      <c r="B30" s="345" t="s">
        <v>12</v>
      </c>
      <c r="E30" s="767">
        <v>36722</v>
      </c>
      <c r="F30" s="762">
        <v>144097</v>
      </c>
      <c r="G30" s="762">
        <f>E30+F30</f>
        <v>180819</v>
      </c>
      <c r="H30" s="768">
        <f>G30/$G$32</f>
        <v>0.14680811159491713</v>
      </c>
      <c r="L30" s="840"/>
      <c r="Q30" s="767">
        <v>1257696.12684</v>
      </c>
      <c r="R30" s="768">
        <f>Q30/$Q$32</f>
        <v>0.20737787442222816</v>
      </c>
      <c r="S30" s="767">
        <v>265.3</v>
      </c>
      <c r="T30" s="768">
        <f>S30/$S$32</f>
        <v>0.14595091560131118</v>
      </c>
    </row>
    <row r="31" spans="1:22" ht="15.75" thickBot="1" x14ac:dyDescent="0.3">
      <c r="A31" s="346">
        <v>26000</v>
      </c>
      <c r="B31" s="347" t="s">
        <v>17</v>
      </c>
      <c r="E31" s="772">
        <v>46540</v>
      </c>
      <c r="F31" s="762">
        <v>64695</v>
      </c>
      <c r="G31" s="773">
        <f>E31+F31</f>
        <v>111235</v>
      </c>
      <c r="H31" s="774">
        <f>G31/$G$32</f>
        <v>9.0312413481219392E-2</v>
      </c>
      <c r="Q31" s="767">
        <v>915040</v>
      </c>
      <c r="R31" s="768">
        <f>Q31/$Q$32</f>
        <v>0.15087829735795646</v>
      </c>
      <c r="S31" s="767">
        <v>122.86400000000002</v>
      </c>
      <c r="T31" s="768">
        <f>S31/$S$32</f>
        <v>6.7591832998264226E-2</v>
      </c>
    </row>
    <row r="32" spans="1:22" ht="15.75" thickBot="1" x14ac:dyDescent="0.3">
      <c r="A32" s="349">
        <v>2021</v>
      </c>
      <c r="B32" s="350" t="s">
        <v>118</v>
      </c>
      <c r="E32" s="775">
        <f>SUM(E27:E31)</f>
        <v>450480</v>
      </c>
      <c r="F32" s="777">
        <f>SUM(F27:F31)</f>
        <v>781189</v>
      </c>
      <c r="G32" s="777">
        <f>SUM(G27:G31)</f>
        <v>1231669</v>
      </c>
      <c r="H32" s="776">
        <f>SUM(H27:H31)</f>
        <v>1</v>
      </c>
      <c r="Q32" s="775">
        <f>SUM(Q27:Q31)</f>
        <v>6064755.6078200005</v>
      </c>
      <c r="R32" s="776">
        <f>SUM(R27:R31)</f>
        <v>0.99999999999999989</v>
      </c>
      <c r="S32" s="775">
        <f>SUM(S27:S31)</f>
        <v>1817.7344000000001</v>
      </c>
      <c r="T32" s="776">
        <f>SUM(T27:T31)</f>
        <v>0.99999999999999989</v>
      </c>
    </row>
    <row r="33" spans="1:20" ht="15.75" thickBot="1" x14ac:dyDescent="0.3">
      <c r="E33" s="11"/>
      <c r="F33" s="11"/>
      <c r="G33" s="11"/>
      <c r="Q33" s="11"/>
      <c r="S33" s="11"/>
    </row>
    <row r="34" spans="1:20" x14ac:dyDescent="0.25">
      <c r="A34" s="348">
        <v>11000</v>
      </c>
      <c r="B34" s="344" t="s">
        <v>4</v>
      </c>
      <c r="E34" s="11"/>
      <c r="F34" s="11"/>
      <c r="G34" s="11"/>
      <c r="Q34" s="760">
        <v>1949248.00535</v>
      </c>
      <c r="R34" s="761">
        <f>Q34/$Q$39</f>
        <v>0.32427818315465629</v>
      </c>
      <c r="S34" s="760">
        <v>632.68391666666662</v>
      </c>
      <c r="T34" s="761">
        <f>S34/$S$39</f>
        <v>0.37437207970495623</v>
      </c>
    </row>
    <row r="35" spans="1:20" x14ac:dyDescent="0.25">
      <c r="A35" s="343">
        <v>14000</v>
      </c>
      <c r="B35" s="345" t="s">
        <v>7</v>
      </c>
      <c r="Q35" s="767">
        <v>1404502</v>
      </c>
      <c r="R35" s="768">
        <f>Q35/$Q$39</f>
        <v>0.23365387859678849</v>
      </c>
      <c r="S35" s="767">
        <v>424.29000000000013</v>
      </c>
      <c r="T35" s="768">
        <f>S35/$S$39</f>
        <v>0.25106111521672042</v>
      </c>
    </row>
    <row r="36" spans="1:20" x14ac:dyDescent="0.25">
      <c r="A36" s="343">
        <v>15000</v>
      </c>
      <c r="B36" s="345" t="s">
        <v>8</v>
      </c>
      <c r="Q36" s="767">
        <v>480879</v>
      </c>
      <c r="R36" s="768">
        <f>Q36/$Q$39</f>
        <v>7.9999347445389932E-2</v>
      </c>
      <c r="S36" s="767">
        <v>269.108</v>
      </c>
      <c r="T36" s="768">
        <f>S36/$S$39</f>
        <v>0.15923673570845692</v>
      </c>
    </row>
    <row r="37" spans="1:20" x14ac:dyDescent="0.25">
      <c r="A37" s="343">
        <v>21000</v>
      </c>
      <c r="B37" s="345" t="s">
        <v>12</v>
      </c>
      <c r="Q37" s="767">
        <v>1231194.0205700002</v>
      </c>
      <c r="R37" s="768">
        <f>Q37/$Q$39</f>
        <v>0.2048222488906066</v>
      </c>
      <c r="S37" s="767">
        <v>251.17000000000002</v>
      </c>
      <c r="T37" s="768">
        <f>S37/$S$39</f>
        <v>0.14862245235330471</v>
      </c>
    </row>
    <row r="38" spans="1:20" ht="15.75" thickBot="1" x14ac:dyDescent="0.3">
      <c r="A38" s="346">
        <v>26000</v>
      </c>
      <c r="B38" s="347" t="s">
        <v>17</v>
      </c>
      <c r="Q38" s="767">
        <v>945213.50569999998</v>
      </c>
      <c r="R38" s="768">
        <f>Q38/$Q$39</f>
        <v>0.15724634191255879</v>
      </c>
      <c r="S38" s="767">
        <v>112.735</v>
      </c>
      <c r="T38" s="768">
        <f>S38/$S$39</f>
        <v>6.6707617016561707E-2</v>
      </c>
    </row>
    <row r="39" spans="1:20" ht="15.75" thickBot="1" x14ac:dyDescent="0.3">
      <c r="A39" s="349">
        <v>2020</v>
      </c>
      <c r="B39" s="350" t="s">
        <v>118</v>
      </c>
      <c r="Q39" s="775">
        <f>SUM(Q34:Q38)</f>
        <v>6011036.5316199996</v>
      </c>
      <c r="R39" s="776">
        <f>SUM(R34:R38)</f>
        <v>1</v>
      </c>
      <c r="S39" s="775">
        <f>SUM(S34:S38)</f>
        <v>1689.9869166666667</v>
      </c>
      <c r="T39" s="776">
        <f>SUM(T34:T38)</f>
        <v>1.0000000000000002</v>
      </c>
    </row>
    <row r="40" spans="1:20" x14ac:dyDescent="0.25">
      <c r="Q40" s="11"/>
    </row>
    <row r="41" spans="1:20" x14ac:dyDescent="0.25">
      <c r="A41" s="609" t="s">
        <v>252</v>
      </c>
    </row>
    <row r="42" spans="1:20" x14ac:dyDescent="0.25">
      <c r="A42" s="38"/>
    </row>
  </sheetData>
  <mergeCells count="14">
    <mergeCell ref="A3:B3"/>
    <mergeCell ref="A4:A5"/>
    <mergeCell ref="B4:B5"/>
    <mergeCell ref="C4:D4"/>
    <mergeCell ref="E4:H4"/>
    <mergeCell ref="V4:V5"/>
    <mergeCell ref="A11:B11"/>
    <mergeCell ref="K4:L4"/>
    <mergeCell ref="M4:N4"/>
    <mergeCell ref="O4:P4"/>
    <mergeCell ref="Q4:R4"/>
    <mergeCell ref="S4:T4"/>
    <mergeCell ref="U4:U5"/>
    <mergeCell ref="I4:J4"/>
  </mergeCells>
  <hyperlinks>
    <hyperlink ref="A41" location="'0 Seznam'!A1" display="Seznam" xr:uid="{FDABC279-2734-4B64-89A7-F5CA3F876EDB}"/>
  </hyperlinks>
  <pageMargins left="0.70866141732283472" right="0.70866141732283472" top="0.78740157480314965" bottom="0.78740157480314965" header="0.31496062992125984" footer="0.31496062992125984"/>
  <pageSetup paperSize="8" scale="73" orientation="landscape" r:id="rId1"/>
  <headerFooter>
    <oddHeader xml:space="preserve">&amp;LČ. j.:999/2024-1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496D3-CA0B-4F43-AF55-BBDD8E9E48FA}">
  <sheetPr>
    <tabColor rgb="FFFF0000"/>
  </sheetPr>
  <dimension ref="A1:F17"/>
  <sheetViews>
    <sheetView zoomScale="85" zoomScaleNormal="85" workbookViewId="0">
      <selection activeCell="B28" sqref="B28"/>
    </sheetView>
  </sheetViews>
  <sheetFormatPr defaultRowHeight="15" x14ac:dyDescent="0.25"/>
  <cols>
    <col min="2" max="2" width="40.5703125" customWidth="1"/>
    <col min="3" max="3" width="37.140625" customWidth="1"/>
    <col min="4" max="5" width="26.28515625" customWidth="1"/>
    <col min="6" max="6" width="37.42578125" customWidth="1"/>
  </cols>
  <sheetData>
    <row r="1" spans="1:6" ht="27.75" x14ac:dyDescent="0.25">
      <c r="A1" s="308" t="s">
        <v>201</v>
      </c>
    </row>
    <row r="2" spans="1:6" ht="15.75" customHeight="1" x14ac:dyDescent="0.25">
      <c r="A2" s="308"/>
    </row>
    <row r="3" spans="1:6" ht="15.75" customHeight="1" x14ac:dyDescent="0.25">
      <c r="A3" s="308"/>
      <c r="B3" s="520" t="s">
        <v>303</v>
      </c>
      <c r="C3" s="540">
        <v>600000000</v>
      </c>
    </row>
    <row r="4" spans="1:6" ht="15.75" thickBot="1" x14ac:dyDescent="0.3"/>
    <row r="5" spans="1:6" ht="15.75" thickBot="1" x14ac:dyDescent="0.3">
      <c r="A5" s="534" t="s">
        <v>2</v>
      </c>
      <c r="B5" s="535" t="s">
        <v>3</v>
      </c>
      <c r="C5" s="533" t="s">
        <v>133</v>
      </c>
      <c r="D5" s="535" t="s">
        <v>29</v>
      </c>
      <c r="E5" s="533" t="s">
        <v>259</v>
      </c>
    </row>
    <row r="6" spans="1:6" x14ac:dyDescent="0.25">
      <c r="A6" s="29">
        <v>11000</v>
      </c>
      <c r="B6" s="536" t="s">
        <v>4</v>
      </c>
      <c r="C6" s="537" t="s">
        <v>202</v>
      </c>
      <c r="D6" s="637">
        <v>0.222119161246212</v>
      </c>
      <c r="E6" s="640">
        <f>ROUND(D6*$C$3,0)</f>
        <v>133271497</v>
      </c>
      <c r="F6" s="633"/>
    </row>
    <row r="7" spans="1:6" x14ac:dyDescent="0.25">
      <c r="A7" s="28">
        <v>11000</v>
      </c>
      <c r="B7" s="538" t="s">
        <v>4</v>
      </c>
      <c r="C7" s="539" t="s">
        <v>203</v>
      </c>
      <c r="D7" s="638">
        <v>0.10049859404671686</v>
      </c>
      <c r="E7" s="641">
        <f t="shared" ref="E7:E13" si="0">ROUND(D7*$C$3,0)</f>
        <v>60299156</v>
      </c>
      <c r="F7" s="634"/>
    </row>
    <row r="8" spans="1:6" x14ac:dyDescent="0.25">
      <c r="A8" s="28">
        <v>11000</v>
      </c>
      <c r="B8" s="538" t="s">
        <v>4</v>
      </c>
      <c r="C8" s="539" t="s">
        <v>204</v>
      </c>
      <c r="D8" s="638">
        <v>9.6693303214819712E-2</v>
      </c>
      <c r="E8" s="641">
        <f t="shared" si="0"/>
        <v>58015982</v>
      </c>
    </row>
    <row r="9" spans="1:6" x14ac:dyDescent="0.25">
      <c r="A9" s="28">
        <v>11000</v>
      </c>
      <c r="B9" s="538" t="s">
        <v>4</v>
      </c>
      <c r="C9" s="539" t="s">
        <v>205</v>
      </c>
      <c r="D9" s="638">
        <v>0.12507229711211443</v>
      </c>
      <c r="E9" s="641">
        <f t="shared" si="0"/>
        <v>75043378</v>
      </c>
    </row>
    <row r="10" spans="1:6" x14ac:dyDescent="0.25">
      <c r="A10" s="28">
        <v>11000</v>
      </c>
      <c r="B10" s="538" t="s">
        <v>4</v>
      </c>
      <c r="C10" s="539" t="s">
        <v>206</v>
      </c>
      <c r="D10" s="638">
        <v>9.2036540155254684E-2</v>
      </c>
      <c r="E10" s="641">
        <f t="shared" si="0"/>
        <v>55221924</v>
      </c>
    </row>
    <row r="11" spans="1:6" x14ac:dyDescent="0.25">
      <c r="A11" s="28">
        <v>14000</v>
      </c>
      <c r="B11" s="538" t="s">
        <v>7</v>
      </c>
      <c r="C11" s="539" t="s">
        <v>207</v>
      </c>
      <c r="D11" s="638">
        <v>0.20003355171206388</v>
      </c>
      <c r="E11" s="641">
        <f t="shared" si="0"/>
        <v>120020131</v>
      </c>
    </row>
    <row r="12" spans="1:6" x14ac:dyDescent="0.25">
      <c r="A12" s="28">
        <v>15000</v>
      </c>
      <c r="B12" s="538" t="s">
        <v>8</v>
      </c>
      <c r="C12" s="539" t="s">
        <v>207</v>
      </c>
      <c r="D12" s="638">
        <v>0.11052606938767151</v>
      </c>
      <c r="E12" s="641">
        <f t="shared" si="0"/>
        <v>66315642</v>
      </c>
    </row>
    <row r="13" spans="1:6" ht="15.75" thickBot="1" x14ac:dyDescent="0.3">
      <c r="A13" s="35">
        <v>17000</v>
      </c>
      <c r="B13" s="635" t="s">
        <v>9</v>
      </c>
      <c r="C13" s="636" t="s">
        <v>207</v>
      </c>
      <c r="D13" s="639">
        <v>5.3020483125146914E-2</v>
      </c>
      <c r="E13" s="642">
        <f t="shared" si="0"/>
        <v>31812290</v>
      </c>
    </row>
    <row r="14" spans="1:6" ht="15.75" thickBot="1" x14ac:dyDescent="0.3">
      <c r="A14" s="981" t="s">
        <v>28</v>
      </c>
      <c r="B14" s="982"/>
      <c r="C14" s="982"/>
      <c r="D14" s="8">
        <f>SUM(D6:D13)</f>
        <v>0.99999999999999989</v>
      </c>
      <c r="E14" s="305">
        <f>SUM(E6:E13)</f>
        <v>600000000</v>
      </c>
    </row>
    <row r="17" spans="1:1" x14ac:dyDescent="0.25">
      <c r="A17" s="609" t="s">
        <v>252</v>
      </c>
    </row>
  </sheetData>
  <mergeCells count="1">
    <mergeCell ref="A14:C14"/>
  </mergeCells>
  <hyperlinks>
    <hyperlink ref="A17" location="'0 Seznam'!A1" display="Seznam" xr:uid="{B16C6632-712D-4BB3-8277-E62580020892}"/>
  </hyperlinks>
  <pageMargins left="0.70866141732283472" right="0.70866141732283472" top="0.78740157480314965" bottom="0.78740157480314965" header="0.31496062992125984" footer="0.31496062992125984"/>
  <pageSetup paperSize="9" scale="73" orientation="landscape" r:id="rId1"/>
  <headerFooter>
    <oddHeader xml:space="preserve">&amp;LČ. j.:999/2024-1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P59"/>
  <sheetViews>
    <sheetView topLeftCell="A6" zoomScale="70" zoomScaleNormal="70" workbookViewId="0">
      <selection activeCell="A19" sqref="A19"/>
    </sheetView>
  </sheetViews>
  <sheetFormatPr defaultRowHeight="15" x14ac:dyDescent="0.25"/>
  <cols>
    <col min="2" max="2" width="53.42578125" customWidth="1"/>
    <col min="3" max="3" width="12.85546875" customWidth="1"/>
    <col min="4" max="4" width="31.28515625" bestFit="1" customWidth="1"/>
    <col min="5" max="14" width="17.7109375" customWidth="1"/>
    <col min="15" max="16" width="17.85546875" customWidth="1"/>
    <col min="18" max="18" width="14.42578125" bestFit="1" customWidth="1"/>
  </cols>
  <sheetData>
    <row r="1" spans="1:16" ht="27.75" x14ac:dyDescent="0.25">
      <c r="A1" s="308" t="s">
        <v>132</v>
      </c>
    </row>
    <row r="3" spans="1:16" x14ac:dyDescent="0.25">
      <c r="B3" s="520"/>
      <c r="C3" s="520" t="s">
        <v>319</v>
      </c>
      <c r="D3" s="352">
        <v>115000000</v>
      </c>
      <c r="E3" s="13" t="s">
        <v>34</v>
      </c>
    </row>
    <row r="4" spans="1:16" ht="15.75" thickBot="1" x14ac:dyDescent="0.3">
      <c r="B4" s="387"/>
      <c r="C4" s="387"/>
      <c r="D4" s="17"/>
      <c r="E4" s="16"/>
    </row>
    <row r="5" spans="1:16" ht="15.75" thickBot="1" x14ac:dyDescent="0.3">
      <c r="A5" s="1005" t="s">
        <v>107</v>
      </c>
      <c r="B5" s="1006"/>
      <c r="C5" s="1006"/>
      <c r="D5" s="1007"/>
      <c r="E5" s="1008">
        <v>0.4</v>
      </c>
      <c r="F5" s="1009"/>
      <c r="G5" s="1008">
        <v>0.4</v>
      </c>
      <c r="H5" s="1010"/>
      <c r="I5" s="1010"/>
      <c r="J5" s="1009"/>
      <c r="K5" s="1008">
        <v>0.1</v>
      </c>
      <c r="L5" s="1009"/>
      <c r="M5" s="1008">
        <v>0.1</v>
      </c>
      <c r="N5" s="1009"/>
      <c r="O5" s="1003">
        <f>SUM(E5:M5)</f>
        <v>1</v>
      </c>
      <c r="P5" s="1004"/>
    </row>
    <row r="6" spans="1:16" ht="39" customHeight="1" x14ac:dyDescent="0.25">
      <c r="A6" s="988" t="s">
        <v>2</v>
      </c>
      <c r="B6" s="990" t="s">
        <v>3</v>
      </c>
      <c r="C6" s="990" t="s">
        <v>2</v>
      </c>
      <c r="D6" s="983" t="s">
        <v>133</v>
      </c>
      <c r="E6" s="1002" t="s">
        <v>305</v>
      </c>
      <c r="F6" s="994" t="s">
        <v>134</v>
      </c>
      <c r="G6" s="1002" t="s">
        <v>306</v>
      </c>
      <c r="H6" s="998" t="s">
        <v>307</v>
      </c>
      <c r="I6" s="1000" t="s">
        <v>135</v>
      </c>
      <c r="J6" s="994" t="s">
        <v>134</v>
      </c>
      <c r="K6" s="1002" t="s">
        <v>200</v>
      </c>
      <c r="L6" s="994" t="s">
        <v>134</v>
      </c>
      <c r="M6" s="992" t="s">
        <v>164</v>
      </c>
      <c r="N6" s="994" t="s">
        <v>134</v>
      </c>
      <c r="O6" s="995" t="s">
        <v>134</v>
      </c>
      <c r="P6" s="997" t="s">
        <v>136</v>
      </c>
    </row>
    <row r="7" spans="1:16" ht="39" customHeight="1" thickBot="1" x14ac:dyDescent="0.3">
      <c r="A7" s="989"/>
      <c r="B7" s="991"/>
      <c r="C7" s="991"/>
      <c r="D7" s="984"/>
      <c r="E7" s="993"/>
      <c r="F7" s="994"/>
      <c r="G7" s="993"/>
      <c r="H7" s="999"/>
      <c r="I7" s="1001"/>
      <c r="J7" s="994"/>
      <c r="K7" s="993"/>
      <c r="L7" s="994"/>
      <c r="M7" s="993"/>
      <c r="N7" s="994"/>
      <c r="O7" s="996"/>
      <c r="P7" s="997"/>
    </row>
    <row r="8" spans="1:16" ht="15" customHeight="1" x14ac:dyDescent="0.25">
      <c r="A8" s="388">
        <v>11000</v>
      </c>
      <c r="B8" s="781" t="s">
        <v>4</v>
      </c>
      <c r="C8" s="781">
        <v>11410</v>
      </c>
      <c r="D8" s="782" t="s">
        <v>137</v>
      </c>
      <c r="E8" s="783">
        <v>133699.541</v>
      </c>
      <c r="F8" s="784">
        <f>E8/$E$17</f>
        <v>0.16924171263747914</v>
      </c>
      <c r="G8" s="785">
        <v>54858.655798296706</v>
      </c>
      <c r="H8" s="786">
        <v>203.09700000000001</v>
      </c>
      <c r="I8" s="787">
        <f>($G$12-G8)*H8*12</f>
        <v>16082144.617826695</v>
      </c>
      <c r="J8" s="788">
        <f>I8/$I$17</f>
        <v>0.12791089735575659</v>
      </c>
      <c r="K8" s="789"/>
      <c r="L8" s="788">
        <f>0.5*L23+0.3*L36+0.2*L49</f>
        <v>0.1723838212664186</v>
      </c>
      <c r="M8" s="789"/>
      <c r="N8" s="788">
        <f>0.5*N23+0.3*N36+0.2*N49</f>
        <v>0.16566354794775445</v>
      </c>
      <c r="O8" s="790">
        <f t="shared" ref="O8:O16" si="0">$E$5*F8+$G$5*J8+$K$5*L8+$M$5*N8</f>
        <v>0.15266578091871161</v>
      </c>
      <c r="P8" s="791">
        <f>ROUND($D$3*O8,0)</f>
        <v>17556565</v>
      </c>
    </row>
    <row r="9" spans="1:16" ht="15" customHeight="1" x14ac:dyDescent="0.25">
      <c r="A9" s="28">
        <v>12000</v>
      </c>
      <c r="B9" s="538" t="s">
        <v>5</v>
      </c>
      <c r="C9" s="538">
        <v>12410</v>
      </c>
      <c r="D9" s="539" t="s">
        <v>137</v>
      </c>
      <c r="E9" s="792">
        <v>73066.865000000005</v>
      </c>
      <c r="F9" s="793">
        <f t="shared" ref="F9:F16" si="1">E9/$E$17</f>
        <v>9.2490679303465106E-2</v>
      </c>
      <c r="G9" s="794">
        <v>52188.679420478664</v>
      </c>
      <c r="H9" s="795">
        <v>116.67100000000001</v>
      </c>
      <c r="I9" s="796">
        <f t="shared" ref="I9:I16" si="2">($G$12-G9)*H9*12</f>
        <v>12976646.438955072</v>
      </c>
      <c r="J9" s="797">
        <f t="shared" ref="J9:J16" si="3">I9/$I$17</f>
        <v>0.10321101632398053</v>
      </c>
      <c r="K9" s="798"/>
      <c r="L9" s="797">
        <f t="shared" ref="L9:L16" si="4">0.5*L24+0.3*L37+0.2*L50</f>
        <v>6.7251972681300995E-2</v>
      </c>
      <c r="M9" s="798"/>
      <c r="N9" s="797">
        <f t="shared" ref="N9:N16" si="5">0.5*N24+0.3*N37+0.2*N50</f>
        <v>8.0923697093718577E-2</v>
      </c>
      <c r="O9" s="799">
        <f t="shared" si="0"/>
        <v>9.3098245228480217E-2</v>
      </c>
      <c r="P9" s="800">
        <f t="shared" ref="P9:P16" si="6">ROUND($D$3*O9,0)</f>
        <v>10706298</v>
      </c>
    </row>
    <row r="10" spans="1:16" ht="15" customHeight="1" x14ac:dyDescent="0.25">
      <c r="A10" s="28">
        <v>13000</v>
      </c>
      <c r="B10" s="538" t="s">
        <v>6</v>
      </c>
      <c r="C10" s="538">
        <v>13430</v>
      </c>
      <c r="D10" s="539" t="s">
        <v>137</v>
      </c>
      <c r="E10" s="792">
        <v>57232.41</v>
      </c>
      <c r="F10" s="793">
        <f t="shared" si="1"/>
        <v>7.2446853701392949E-2</v>
      </c>
      <c r="G10" s="794">
        <v>45202.13340662673</v>
      </c>
      <c r="H10" s="795">
        <v>105.512</v>
      </c>
      <c r="I10" s="796">
        <f t="shared" si="2"/>
        <v>20581468.161214251</v>
      </c>
      <c r="J10" s="797">
        <f t="shared" si="3"/>
        <v>0.16369670363999073</v>
      </c>
      <c r="K10" s="798"/>
      <c r="L10" s="797">
        <f t="shared" si="4"/>
        <v>8.3871770219118819E-2</v>
      </c>
      <c r="M10" s="798"/>
      <c r="N10" s="797">
        <f t="shared" si="5"/>
        <v>7.571415858539686E-2</v>
      </c>
      <c r="O10" s="799">
        <f t="shared" si="0"/>
        <v>0.11041601581700504</v>
      </c>
      <c r="P10" s="800">
        <f t="shared" si="6"/>
        <v>12697842</v>
      </c>
    </row>
    <row r="11" spans="1:16" ht="15" customHeight="1" x14ac:dyDescent="0.25">
      <c r="A11" s="28">
        <v>14000</v>
      </c>
      <c r="B11" s="538" t="s">
        <v>7</v>
      </c>
      <c r="C11" s="538">
        <v>14410</v>
      </c>
      <c r="D11" s="539" t="s">
        <v>137</v>
      </c>
      <c r="E11" s="792">
        <v>135674.32</v>
      </c>
      <c r="F11" s="793">
        <f t="shared" si="1"/>
        <v>0.17174145928986692</v>
      </c>
      <c r="G11" s="794">
        <v>59675.255900039767</v>
      </c>
      <c r="H11" s="795">
        <v>189.46199999999999</v>
      </c>
      <c r="I11" s="796">
        <f t="shared" si="2"/>
        <v>4051711.0123964278</v>
      </c>
      <c r="J11" s="797">
        <f t="shared" si="3"/>
        <v>3.2225676595853438E-2</v>
      </c>
      <c r="K11" s="798"/>
      <c r="L11" s="797">
        <f t="shared" si="4"/>
        <v>0.16650605919620171</v>
      </c>
      <c r="M11" s="798"/>
      <c r="N11" s="797">
        <f t="shared" si="5"/>
        <v>0.18856538562345573</v>
      </c>
      <c r="O11" s="799">
        <f t="shared" si="0"/>
        <v>0.11709399883625389</v>
      </c>
      <c r="P11" s="800">
        <f>ROUND($D$3*O11,0)</f>
        <v>13465810</v>
      </c>
    </row>
    <row r="12" spans="1:16" ht="15" customHeight="1" x14ac:dyDescent="0.25">
      <c r="A12" s="28">
        <v>15000</v>
      </c>
      <c r="B12" s="538" t="s">
        <v>8</v>
      </c>
      <c r="C12" s="538">
        <v>15410</v>
      </c>
      <c r="D12" s="539" t="s">
        <v>137</v>
      </c>
      <c r="E12" s="792">
        <v>109762.614</v>
      </c>
      <c r="F12" s="793">
        <f t="shared" si="1"/>
        <v>0.13894148504912629</v>
      </c>
      <c r="G12" s="794">
        <v>61457.368325572956</v>
      </c>
      <c r="H12" s="795">
        <v>148.833</v>
      </c>
      <c r="I12" s="796">
        <f t="shared" si="2"/>
        <v>0</v>
      </c>
      <c r="J12" s="797">
        <f t="shared" si="3"/>
        <v>0</v>
      </c>
      <c r="K12" s="798"/>
      <c r="L12" s="797">
        <f t="shared" si="4"/>
        <v>0.17106074030317769</v>
      </c>
      <c r="M12" s="798"/>
      <c r="N12" s="797">
        <f t="shared" si="5"/>
        <v>0.17367545734904713</v>
      </c>
      <c r="O12" s="799">
        <f t="shared" si="0"/>
        <v>9.0050213784873004E-2</v>
      </c>
      <c r="P12" s="800">
        <f t="shared" si="6"/>
        <v>10355775</v>
      </c>
    </row>
    <row r="13" spans="1:16" ht="15" customHeight="1" x14ac:dyDescent="0.25">
      <c r="A13" s="28">
        <v>17000</v>
      </c>
      <c r="B13" s="538" t="s">
        <v>9</v>
      </c>
      <c r="C13" s="538">
        <v>17450</v>
      </c>
      <c r="D13" s="539" t="s">
        <v>137</v>
      </c>
      <c r="E13" s="792">
        <v>59633.934999999998</v>
      </c>
      <c r="F13" s="793">
        <f t="shared" si="1"/>
        <v>7.5486790868729392E-2</v>
      </c>
      <c r="G13" s="794">
        <v>52723.935953883971</v>
      </c>
      <c r="H13" s="795">
        <v>94.254999999999995</v>
      </c>
      <c r="I13" s="796">
        <f t="shared" si="2"/>
        <v>9878036.0183225423</v>
      </c>
      <c r="J13" s="797">
        <f t="shared" si="3"/>
        <v>7.8565917745544375E-2</v>
      </c>
      <c r="K13" s="798"/>
      <c r="L13" s="797">
        <f t="shared" si="4"/>
        <v>8.9733866576971119E-2</v>
      </c>
      <c r="M13" s="798"/>
      <c r="N13" s="797">
        <f t="shared" si="5"/>
        <v>9.5061311567072759E-2</v>
      </c>
      <c r="O13" s="799">
        <f t="shared" si="0"/>
        <v>8.0100601260113882E-2</v>
      </c>
      <c r="P13" s="800">
        <f t="shared" si="6"/>
        <v>9211569</v>
      </c>
    </row>
    <row r="14" spans="1:16" ht="15" customHeight="1" x14ac:dyDescent="0.25">
      <c r="A14" s="28">
        <v>18000</v>
      </c>
      <c r="B14" s="538" t="s">
        <v>10</v>
      </c>
      <c r="C14" s="538">
        <v>18440</v>
      </c>
      <c r="D14" s="539" t="s">
        <v>137</v>
      </c>
      <c r="E14" s="792">
        <v>68168.75</v>
      </c>
      <c r="F14" s="793">
        <f t="shared" si="1"/>
        <v>8.6290468254907146E-2</v>
      </c>
      <c r="G14" s="794">
        <v>47736.016458968828</v>
      </c>
      <c r="H14" s="795">
        <v>119.003</v>
      </c>
      <c r="I14" s="796">
        <f t="shared" si="2"/>
        <v>19594584.43417789</v>
      </c>
      <c r="J14" s="797">
        <f t="shared" si="3"/>
        <v>0.15584742817886299</v>
      </c>
      <c r="K14" s="798"/>
      <c r="L14" s="797">
        <f t="shared" si="4"/>
        <v>9.7251311226465409E-2</v>
      </c>
      <c r="M14" s="798"/>
      <c r="N14" s="797">
        <f t="shared" si="5"/>
        <v>9.3189553799956568E-2</v>
      </c>
      <c r="O14" s="799">
        <f t="shared" si="0"/>
        <v>0.11589924507615026</v>
      </c>
      <c r="P14" s="800">
        <f t="shared" si="6"/>
        <v>13328413</v>
      </c>
    </row>
    <row r="15" spans="1:16" ht="15" customHeight="1" x14ac:dyDescent="0.25">
      <c r="A15" s="28">
        <v>23000</v>
      </c>
      <c r="B15" s="538" t="s">
        <v>14</v>
      </c>
      <c r="C15" s="538">
        <v>23420</v>
      </c>
      <c r="D15" s="539" t="s">
        <v>137</v>
      </c>
      <c r="E15" s="792">
        <v>64247.474999999999</v>
      </c>
      <c r="F15" s="793">
        <f t="shared" si="1"/>
        <v>8.1326776594046996E-2</v>
      </c>
      <c r="G15" s="794">
        <v>44652.02370229517</v>
      </c>
      <c r="H15" s="795">
        <v>119.904</v>
      </c>
      <c r="I15" s="796">
        <f t="shared" si="2"/>
        <v>24180336.500513997</v>
      </c>
      <c r="J15" s="797">
        <f t="shared" si="3"/>
        <v>0.19232065210484794</v>
      </c>
      <c r="K15" s="798"/>
      <c r="L15" s="797">
        <f t="shared" si="4"/>
        <v>7.1913902294846316E-2</v>
      </c>
      <c r="M15" s="798"/>
      <c r="N15" s="797">
        <f t="shared" si="5"/>
        <v>6.9540859791946713E-2</v>
      </c>
      <c r="O15" s="799">
        <f t="shared" si="0"/>
        <v>0.12360444768823729</v>
      </c>
      <c r="P15" s="800">
        <f>ROUND($D$3*O15,0)</f>
        <v>14214511</v>
      </c>
    </row>
    <row r="16" spans="1:16" ht="15.75" thickBot="1" x14ac:dyDescent="0.3">
      <c r="A16" s="28">
        <v>24000</v>
      </c>
      <c r="B16" s="801" t="s">
        <v>15</v>
      </c>
      <c r="C16" s="801">
        <v>24510</v>
      </c>
      <c r="D16" s="539" t="s">
        <v>138</v>
      </c>
      <c r="E16" s="802">
        <v>88505.747000000003</v>
      </c>
      <c r="F16" s="803">
        <f t="shared" si="1"/>
        <v>0.11203377430098607</v>
      </c>
      <c r="G16" s="804">
        <v>50887.130474179772</v>
      </c>
      <c r="H16" s="805">
        <v>144.93799999999999</v>
      </c>
      <c r="I16" s="806">
        <f t="shared" si="2"/>
        <v>18384349.604462702</v>
      </c>
      <c r="J16" s="807">
        <f t="shared" si="3"/>
        <v>0.14622170805516344</v>
      </c>
      <c r="K16" s="808"/>
      <c r="L16" s="807">
        <f t="shared" si="4"/>
        <v>8.0026556235499341E-2</v>
      </c>
      <c r="M16" s="808"/>
      <c r="N16" s="807">
        <f t="shared" si="5"/>
        <v>5.7666028241651235E-2</v>
      </c>
      <c r="O16" s="809">
        <f t="shared" si="0"/>
        <v>0.11707145139017487</v>
      </c>
      <c r="P16" s="810">
        <f t="shared" si="6"/>
        <v>13463217</v>
      </c>
    </row>
    <row r="17" spans="1:16" ht="15.75" thickBot="1" x14ac:dyDescent="0.3">
      <c r="A17" s="981" t="s">
        <v>28</v>
      </c>
      <c r="B17" s="982"/>
      <c r="C17" s="982"/>
      <c r="D17" s="985"/>
      <c r="E17" s="811">
        <f>SUM(E8:E16)</f>
        <v>789991.65700000001</v>
      </c>
      <c r="F17" s="812">
        <f>SUM(F8:F16)</f>
        <v>1</v>
      </c>
      <c r="G17" s="813">
        <f>E17/H17/12*1000</f>
        <v>53019.218461621051</v>
      </c>
      <c r="H17" s="814">
        <f t="shared" ref="H17:P17" si="7">SUM(H8:H16)</f>
        <v>1241.6750000000002</v>
      </c>
      <c r="I17" s="815">
        <f t="shared" si="7"/>
        <v>125729276.78786957</v>
      </c>
      <c r="J17" s="816">
        <f t="shared" si="7"/>
        <v>1</v>
      </c>
      <c r="K17" s="817">
        <f t="shared" si="7"/>
        <v>0</v>
      </c>
      <c r="L17" s="816">
        <f t="shared" si="7"/>
        <v>1</v>
      </c>
      <c r="M17" s="817">
        <f t="shared" si="7"/>
        <v>0</v>
      </c>
      <c r="N17" s="816">
        <f t="shared" si="7"/>
        <v>0.99999999999999989</v>
      </c>
      <c r="O17" s="818">
        <f t="shared" si="7"/>
        <v>1</v>
      </c>
      <c r="P17" s="819">
        <f t="shared" si="7"/>
        <v>115000000</v>
      </c>
    </row>
    <row r="18" spans="1:16" x14ac:dyDescent="0.25">
      <c r="A18" s="389" t="s">
        <v>322</v>
      </c>
      <c r="B18" s="390"/>
      <c r="C18" s="390"/>
      <c r="D18" s="390"/>
      <c r="E18" s="820"/>
      <c r="F18" s="821"/>
      <c r="G18" s="822"/>
      <c r="H18" s="823"/>
      <c r="I18" s="824"/>
      <c r="J18" s="825"/>
      <c r="K18" s="824"/>
      <c r="L18" s="825"/>
      <c r="M18" s="824"/>
      <c r="N18" s="825"/>
      <c r="O18" s="825"/>
      <c r="P18" s="824"/>
    </row>
    <row r="19" spans="1:16" x14ac:dyDescent="0.25">
      <c r="A19" s="389"/>
      <c r="B19" s="390"/>
      <c r="C19" s="390"/>
      <c r="D19" s="390"/>
      <c r="E19" s="820"/>
      <c r="F19" s="821"/>
      <c r="G19" s="822"/>
      <c r="H19" s="823"/>
      <c r="I19" s="824"/>
      <c r="J19" s="825"/>
      <c r="K19" s="824"/>
      <c r="L19" s="825"/>
      <c r="M19" s="824"/>
      <c r="N19" s="825"/>
      <c r="O19" s="825"/>
      <c r="P19" s="824"/>
    </row>
    <row r="20" spans="1:16" ht="15.75" thickBot="1" x14ac:dyDescent="0.3">
      <c r="A20" t="s">
        <v>308</v>
      </c>
      <c r="O20" s="825"/>
      <c r="P20" s="824"/>
    </row>
    <row r="21" spans="1:16" ht="33" customHeight="1" x14ac:dyDescent="0.25">
      <c r="A21" s="988" t="s">
        <v>2</v>
      </c>
      <c r="B21" s="990" t="s">
        <v>3</v>
      </c>
      <c r="C21" s="990" t="s">
        <v>2</v>
      </c>
      <c r="D21" s="983" t="s">
        <v>133</v>
      </c>
      <c r="E21" s="390"/>
      <c r="F21" s="390"/>
      <c r="G21" s="390"/>
      <c r="H21" s="390"/>
      <c r="I21" s="390"/>
      <c r="J21" s="390"/>
      <c r="K21" s="992" t="s">
        <v>309</v>
      </c>
      <c r="L21" s="986" t="s">
        <v>134</v>
      </c>
      <c r="M21" s="992" t="s">
        <v>310</v>
      </c>
      <c r="N21" s="986" t="s">
        <v>134</v>
      </c>
      <c r="O21" s="825"/>
      <c r="P21" s="824"/>
    </row>
    <row r="22" spans="1:16" ht="33" customHeight="1" thickBot="1" x14ac:dyDescent="0.3">
      <c r="A22" s="989"/>
      <c r="B22" s="991"/>
      <c r="C22" s="991"/>
      <c r="D22" s="984"/>
      <c r="E22" s="390"/>
      <c r="F22" s="390"/>
      <c r="G22" s="390"/>
      <c r="H22" s="390"/>
      <c r="I22" s="390"/>
      <c r="J22" s="390"/>
      <c r="K22" s="993"/>
      <c r="L22" s="987"/>
      <c r="M22" s="993"/>
      <c r="N22" s="987"/>
      <c r="O22" s="825"/>
      <c r="P22" s="824"/>
    </row>
    <row r="23" spans="1:16" x14ac:dyDescent="0.25">
      <c r="A23" s="29">
        <v>11000</v>
      </c>
      <c r="B23" s="536" t="s">
        <v>4</v>
      </c>
      <c r="C23" s="781">
        <v>11410</v>
      </c>
      <c r="D23" s="537" t="s">
        <v>137</v>
      </c>
      <c r="E23" s="826"/>
      <c r="F23" s="826"/>
      <c r="G23" s="826"/>
      <c r="H23" s="826"/>
      <c r="I23" s="826"/>
      <c r="J23" s="826"/>
      <c r="K23" s="789">
        <v>4984.5</v>
      </c>
      <c r="L23" s="788">
        <f>K23/$K$32</f>
        <v>0.17227137623557062</v>
      </c>
      <c r="M23" s="789">
        <v>1079</v>
      </c>
      <c r="N23" s="788">
        <f>M23/$M$32</f>
        <v>0.15978083814600919</v>
      </c>
      <c r="O23" s="825"/>
      <c r="P23" s="824"/>
    </row>
    <row r="24" spans="1:16" x14ac:dyDescent="0.25">
      <c r="A24" s="28">
        <v>12000</v>
      </c>
      <c r="B24" s="538" t="s">
        <v>5</v>
      </c>
      <c r="C24" s="538">
        <v>12410</v>
      </c>
      <c r="D24" s="539" t="s">
        <v>137</v>
      </c>
      <c r="E24" s="826"/>
      <c r="F24" s="826"/>
      <c r="G24" s="826"/>
      <c r="H24" s="826"/>
      <c r="I24" s="826"/>
      <c r="J24" s="826"/>
      <c r="K24" s="798">
        <v>1919.5</v>
      </c>
      <c r="L24" s="797">
        <f t="shared" ref="L24:L31" si="8">K24/$K$32</f>
        <v>6.6340637312504322E-2</v>
      </c>
      <c r="M24" s="798">
        <v>533</v>
      </c>
      <c r="N24" s="797">
        <f t="shared" ref="N24:N31" si="9">M24/$M$32</f>
        <v>7.8927883903450319E-2</v>
      </c>
      <c r="O24" s="825"/>
      <c r="P24" s="824"/>
    </row>
    <row r="25" spans="1:16" x14ac:dyDescent="0.25">
      <c r="A25" s="28">
        <v>13000</v>
      </c>
      <c r="B25" s="538" t="s">
        <v>6</v>
      </c>
      <c r="C25" s="538">
        <v>13430</v>
      </c>
      <c r="D25" s="539" t="s">
        <v>137</v>
      </c>
      <c r="E25" s="826"/>
      <c r="F25" s="826"/>
      <c r="G25" s="826"/>
      <c r="H25" s="826"/>
      <c r="I25" s="826"/>
      <c r="J25" s="826"/>
      <c r="K25" s="798">
        <v>2439</v>
      </c>
      <c r="L25" s="797">
        <f t="shared" si="8"/>
        <v>8.429529273519043E-2</v>
      </c>
      <c r="M25" s="798">
        <v>510</v>
      </c>
      <c r="N25" s="797">
        <f t="shared" si="9"/>
        <v>7.5521990226565971E-2</v>
      </c>
      <c r="O25" s="825"/>
      <c r="P25" s="824"/>
    </row>
    <row r="26" spans="1:16" x14ac:dyDescent="0.25">
      <c r="A26" s="28">
        <v>14000</v>
      </c>
      <c r="B26" s="538" t="s">
        <v>7</v>
      </c>
      <c r="C26" s="538">
        <v>14410</v>
      </c>
      <c r="D26" s="539" t="s">
        <v>137</v>
      </c>
      <c r="E26" s="826"/>
      <c r="F26" s="826"/>
      <c r="G26" s="826"/>
      <c r="H26" s="826"/>
      <c r="I26" s="826"/>
      <c r="J26" s="826"/>
      <c r="K26" s="798">
        <v>4766.5</v>
      </c>
      <c r="L26" s="797">
        <f t="shared" si="8"/>
        <v>0.16473698762701319</v>
      </c>
      <c r="M26" s="798">
        <v>1311</v>
      </c>
      <c r="N26" s="797">
        <f t="shared" si="9"/>
        <v>0.19413593958240782</v>
      </c>
      <c r="O26" s="825"/>
      <c r="P26" s="824"/>
    </row>
    <row r="27" spans="1:16" x14ac:dyDescent="0.25">
      <c r="A27" s="28">
        <v>15000</v>
      </c>
      <c r="B27" s="538" t="s">
        <v>8</v>
      </c>
      <c r="C27" s="538">
        <v>15410</v>
      </c>
      <c r="D27" s="539" t="s">
        <v>137</v>
      </c>
      <c r="E27" s="826"/>
      <c r="F27" s="826"/>
      <c r="G27" s="826"/>
      <c r="H27" s="826"/>
      <c r="I27" s="826"/>
      <c r="J27" s="826"/>
      <c r="K27" s="798">
        <v>4809.5</v>
      </c>
      <c r="L27" s="797">
        <f t="shared" si="8"/>
        <v>0.16622312849934334</v>
      </c>
      <c r="M27" s="798">
        <v>1170</v>
      </c>
      <c r="N27" s="797">
        <f t="shared" si="9"/>
        <v>0.17325633051976899</v>
      </c>
      <c r="O27" s="825"/>
      <c r="P27" s="824"/>
    </row>
    <row r="28" spans="1:16" x14ac:dyDescent="0.25">
      <c r="A28" s="28">
        <v>17000</v>
      </c>
      <c r="B28" s="538" t="s">
        <v>9</v>
      </c>
      <c r="C28" s="538">
        <v>17450</v>
      </c>
      <c r="D28" s="539" t="s">
        <v>137</v>
      </c>
      <c r="E28" s="826"/>
      <c r="F28" s="826"/>
      <c r="G28" s="826"/>
      <c r="H28" s="826"/>
      <c r="I28" s="826"/>
      <c r="J28" s="826"/>
      <c r="K28" s="798">
        <v>2672.5</v>
      </c>
      <c r="L28" s="797">
        <f t="shared" si="8"/>
        <v>9.2365383286099403E-2</v>
      </c>
      <c r="M28" s="798">
        <v>652</v>
      </c>
      <c r="N28" s="797">
        <f t="shared" si="9"/>
        <v>9.6549681622982372E-2</v>
      </c>
      <c r="O28" s="825"/>
      <c r="P28" s="824"/>
    </row>
    <row r="29" spans="1:16" x14ac:dyDescent="0.25">
      <c r="A29" s="28">
        <v>18000</v>
      </c>
      <c r="B29" s="538" t="s">
        <v>10</v>
      </c>
      <c r="C29" s="538">
        <v>18440</v>
      </c>
      <c r="D29" s="539" t="s">
        <v>137</v>
      </c>
      <c r="E29" s="826"/>
      <c r="F29" s="826"/>
      <c r="G29" s="826"/>
      <c r="H29" s="826"/>
      <c r="I29" s="826"/>
      <c r="J29" s="826"/>
      <c r="K29" s="798">
        <v>2865</v>
      </c>
      <c r="L29" s="797">
        <f t="shared" si="8"/>
        <v>9.9018455795949409E-2</v>
      </c>
      <c r="M29" s="798">
        <v>610</v>
      </c>
      <c r="N29" s="797">
        <f t="shared" si="9"/>
        <v>9.0330223604324009E-2</v>
      </c>
      <c r="O29" s="825"/>
      <c r="P29" s="824"/>
    </row>
    <row r="30" spans="1:16" x14ac:dyDescent="0.25">
      <c r="A30" s="28">
        <v>23000</v>
      </c>
      <c r="B30" s="538" t="s">
        <v>14</v>
      </c>
      <c r="C30" s="538">
        <v>23420</v>
      </c>
      <c r="D30" s="539" t="s">
        <v>137</v>
      </c>
      <c r="E30" s="826"/>
      <c r="F30" s="826"/>
      <c r="G30" s="826"/>
      <c r="H30" s="826"/>
      <c r="I30" s="826"/>
      <c r="J30" s="826"/>
      <c r="K30" s="798">
        <v>2103.5</v>
      </c>
      <c r="L30" s="797">
        <f t="shared" si="8"/>
        <v>7.2699937789451857E-2</v>
      </c>
      <c r="M30" s="798">
        <v>477</v>
      </c>
      <c r="N30" s="797">
        <f t="shared" si="9"/>
        <v>7.0635273211905825E-2</v>
      </c>
      <c r="O30" s="825"/>
      <c r="P30" s="824"/>
    </row>
    <row r="31" spans="1:16" ht="15.75" thickBot="1" x14ac:dyDescent="0.3">
      <c r="A31" s="28">
        <v>24000</v>
      </c>
      <c r="B31" s="801" t="s">
        <v>15</v>
      </c>
      <c r="C31" s="801">
        <v>24510</v>
      </c>
      <c r="D31" s="539" t="s">
        <v>138</v>
      </c>
      <c r="E31" s="826"/>
      <c r="F31" s="826"/>
      <c r="G31" s="826"/>
      <c r="H31" s="826"/>
      <c r="I31" s="826"/>
      <c r="J31" s="826"/>
      <c r="K31" s="808">
        <v>2374</v>
      </c>
      <c r="L31" s="797">
        <f t="shared" si="8"/>
        <v>8.2048800718877449E-2</v>
      </c>
      <c r="M31" s="808">
        <v>411</v>
      </c>
      <c r="N31" s="807">
        <f t="shared" si="9"/>
        <v>6.0861839182585517E-2</v>
      </c>
      <c r="O31" s="825"/>
      <c r="P31" s="824"/>
    </row>
    <row r="32" spans="1:16" ht="15.75" thickBot="1" x14ac:dyDescent="0.3">
      <c r="A32" s="981" t="s">
        <v>28</v>
      </c>
      <c r="B32" s="982"/>
      <c r="C32" s="982"/>
      <c r="D32" s="985"/>
      <c r="E32" s="390"/>
      <c r="F32" s="390"/>
      <c r="G32" s="390"/>
      <c r="H32" s="390"/>
      <c r="I32" s="390"/>
      <c r="J32" s="390"/>
      <c r="K32" s="817">
        <f>SUM(K23:K31)</f>
        <v>28934</v>
      </c>
      <c r="L32" s="816">
        <f>SUM(L23:L31)</f>
        <v>1</v>
      </c>
      <c r="M32" s="817">
        <f>SUM(M23:M31)</f>
        <v>6753</v>
      </c>
      <c r="N32" s="816">
        <f>SUM(N23:N31)</f>
        <v>1</v>
      </c>
      <c r="O32" s="825"/>
      <c r="P32" s="824"/>
    </row>
    <row r="33" spans="1:16" ht="42.75" customHeight="1" thickBot="1" x14ac:dyDescent="0.3">
      <c r="A33" t="s">
        <v>278</v>
      </c>
      <c r="O33" s="825"/>
      <c r="P33" s="824"/>
    </row>
    <row r="34" spans="1:16" ht="42.75" customHeight="1" x14ac:dyDescent="0.25">
      <c r="A34" s="988" t="s">
        <v>2</v>
      </c>
      <c r="B34" s="990" t="s">
        <v>3</v>
      </c>
      <c r="C34" s="990" t="s">
        <v>2</v>
      </c>
      <c r="D34" s="983" t="s">
        <v>133</v>
      </c>
      <c r="E34" s="390"/>
      <c r="F34" s="390"/>
      <c r="G34" s="390"/>
      <c r="H34" s="390"/>
      <c r="I34" s="390"/>
      <c r="J34" s="390"/>
      <c r="K34" s="992" t="s">
        <v>279</v>
      </c>
      <c r="L34" s="986" t="s">
        <v>134</v>
      </c>
      <c r="M34" s="992" t="s">
        <v>280</v>
      </c>
      <c r="N34" s="986" t="s">
        <v>134</v>
      </c>
      <c r="O34" s="825"/>
      <c r="P34" s="824"/>
    </row>
    <row r="35" spans="1:16" ht="60.75" customHeight="1" thickBot="1" x14ac:dyDescent="0.3">
      <c r="A35" s="989"/>
      <c r="B35" s="991"/>
      <c r="C35" s="991"/>
      <c r="D35" s="984"/>
      <c r="E35" s="390"/>
      <c r="F35" s="390"/>
      <c r="G35" s="390"/>
      <c r="H35" s="390"/>
      <c r="I35" s="390"/>
      <c r="J35" s="390"/>
      <c r="K35" s="993"/>
      <c r="L35" s="987"/>
      <c r="M35" s="993"/>
      <c r="N35" s="987"/>
      <c r="O35" s="825"/>
      <c r="P35" s="824"/>
    </row>
    <row r="36" spans="1:16" ht="15" customHeight="1" x14ac:dyDescent="0.25">
      <c r="A36" s="29">
        <v>11000</v>
      </c>
      <c r="B36" s="536" t="s">
        <v>4</v>
      </c>
      <c r="C36" s="781">
        <v>11410</v>
      </c>
      <c r="D36" s="537" t="s">
        <v>137</v>
      </c>
      <c r="E36" s="826"/>
      <c r="F36" s="826"/>
      <c r="G36" s="826"/>
      <c r="H36" s="826"/>
      <c r="I36" s="826"/>
      <c r="J36" s="826"/>
      <c r="K36" s="789">
        <v>5083.5</v>
      </c>
      <c r="L36" s="788">
        <f>K36/$K$45</f>
        <v>0.17364052466183905</v>
      </c>
      <c r="M36" s="789">
        <v>1016</v>
      </c>
      <c r="N36" s="788">
        <f>M36/$M$45</f>
        <v>0.17246647428280429</v>
      </c>
      <c r="O36" s="825"/>
      <c r="P36" s="824"/>
    </row>
    <row r="37" spans="1:16" ht="15" customHeight="1" x14ac:dyDescent="0.25">
      <c r="A37" s="28">
        <v>12000</v>
      </c>
      <c r="B37" s="538" t="s">
        <v>5</v>
      </c>
      <c r="C37" s="538">
        <v>12410</v>
      </c>
      <c r="D37" s="539" t="s">
        <v>137</v>
      </c>
      <c r="E37" s="826"/>
      <c r="F37" s="826"/>
      <c r="G37" s="826"/>
      <c r="H37" s="826"/>
      <c r="I37" s="826"/>
      <c r="J37" s="826"/>
      <c r="K37" s="798">
        <v>1960</v>
      </c>
      <c r="L37" s="797">
        <f t="shared" ref="L37:L44" si="10">K37/$K$45</f>
        <v>6.6949036753654864E-2</v>
      </c>
      <c r="M37" s="798">
        <v>473</v>
      </c>
      <c r="N37" s="797">
        <f t="shared" ref="N37:N44" si="11">M37/$M$45</f>
        <v>8.0291970802919707E-2</v>
      </c>
      <c r="O37" s="825"/>
      <c r="P37" s="824"/>
    </row>
    <row r="38" spans="1:16" ht="15" customHeight="1" x14ac:dyDescent="0.25">
      <c r="A38" s="28">
        <v>13000</v>
      </c>
      <c r="B38" s="538" t="s">
        <v>6</v>
      </c>
      <c r="C38" s="538">
        <v>13430</v>
      </c>
      <c r="D38" s="539" t="s">
        <v>137</v>
      </c>
      <c r="E38" s="826"/>
      <c r="F38" s="826"/>
      <c r="G38" s="826"/>
      <c r="H38" s="826"/>
      <c r="I38" s="826"/>
      <c r="J38" s="826"/>
      <c r="K38" s="798">
        <v>2441</v>
      </c>
      <c r="L38" s="797">
        <f t="shared" si="10"/>
        <v>8.3378876895750784E-2</v>
      </c>
      <c r="M38" s="798">
        <v>460</v>
      </c>
      <c r="N38" s="797">
        <f t="shared" si="11"/>
        <v>7.8085214734340519E-2</v>
      </c>
      <c r="O38" s="825"/>
      <c r="P38" s="824"/>
    </row>
    <row r="39" spans="1:16" ht="15" customHeight="1" x14ac:dyDescent="0.25">
      <c r="A39" s="28">
        <v>14000</v>
      </c>
      <c r="B39" s="538" t="s">
        <v>7</v>
      </c>
      <c r="C39" s="538">
        <v>14410</v>
      </c>
      <c r="D39" s="539" t="s">
        <v>137</v>
      </c>
      <c r="E39" s="826"/>
      <c r="F39" s="826"/>
      <c r="G39" s="826"/>
      <c r="H39" s="826"/>
      <c r="I39" s="826"/>
      <c r="J39" s="826"/>
      <c r="K39" s="798">
        <v>4961</v>
      </c>
      <c r="L39" s="797">
        <f t="shared" si="10"/>
        <v>0.16945620986473561</v>
      </c>
      <c r="M39" s="798">
        <v>1026</v>
      </c>
      <c r="N39" s="797">
        <f t="shared" si="11"/>
        <v>0.17416397895094213</v>
      </c>
      <c r="O39" s="825"/>
      <c r="P39" s="824"/>
    </row>
    <row r="40" spans="1:16" ht="15" customHeight="1" x14ac:dyDescent="0.25">
      <c r="A40" s="28">
        <v>15000</v>
      </c>
      <c r="B40" s="538" t="s">
        <v>8</v>
      </c>
      <c r="C40" s="538">
        <v>15410</v>
      </c>
      <c r="D40" s="539" t="s">
        <v>137</v>
      </c>
      <c r="E40" s="826"/>
      <c r="F40" s="826"/>
      <c r="G40" s="826"/>
      <c r="H40" s="826"/>
      <c r="I40" s="826"/>
      <c r="J40" s="826"/>
      <c r="K40" s="798">
        <v>5069.5</v>
      </c>
      <c r="L40" s="797">
        <f t="shared" si="10"/>
        <v>0.17316231725645581</v>
      </c>
      <c r="M40" s="798">
        <v>1049</v>
      </c>
      <c r="N40" s="797">
        <f t="shared" si="11"/>
        <v>0.17806823968765914</v>
      </c>
      <c r="O40" s="825"/>
      <c r="P40" s="824"/>
    </row>
    <row r="41" spans="1:16" ht="15" customHeight="1" x14ac:dyDescent="0.25">
      <c r="A41" s="28">
        <v>17000</v>
      </c>
      <c r="B41" s="538" t="s">
        <v>9</v>
      </c>
      <c r="C41" s="538">
        <v>17450</v>
      </c>
      <c r="D41" s="539" t="s">
        <v>137</v>
      </c>
      <c r="E41" s="826"/>
      <c r="F41" s="826"/>
      <c r="G41" s="826"/>
      <c r="H41" s="826"/>
      <c r="I41" s="826"/>
      <c r="J41" s="826"/>
      <c r="K41" s="798">
        <v>2566</v>
      </c>
      <c r="L41" s="797">
        <f t="shared" si="10"/>
        <v>8.7648585872386942E-2</v>
      </c>
      <c r="M41" s="798">
        <v>551</v>
      </c>
      <c r="N41" s="797">
        <f t="shared" si="11"/>
        <v>9.3532507214394836E-2</v>
      </c>
      <c r="O41" s="825"/>
      <c r="P41" s="824"/>
    </row>
    <row r="42" spans="1:16" ht="15" customHeight="1" x14ac:dyDescent="0.25">
      <c r="A42" s="28">
        <v>18000</v>
      </c>
      <c r="B42" s="538" t="s">
        <v>10</v>
      </c>
      <c r="C42" s="538">
        <v>18440</v>
      </c>
      <c r="D42" s="539" t="s">
        <v>137</v>
      </c>
      <c r="E42" s="826"/>
      <c r="F42" s="826"/>
      <c r="G42" s="826"/>
      <c r="H42" s="826"/>
      <c r="I42" s="826"/>
      <c r="J42" s="826"/>
      <c r="K42" s="798">
        <v>2799</v>
      </c>
      <c r="L42" s="797">
        <f t="shared" si="10"/>
        <v>9.5607323404836728E-2</v>
      </c>
      <c r="M42" s="798">
        <v>566</v>
      </c>
      <c r="N42" s="797">
        <f t="shared" si="11"/>
        <v>9.6078764216601595E-2</v>
      </c>
      <c r="O42" s="825"/>
      <c r="P42" s="824"/>
    </row>
    <row r="43" spans="1:16" ht="15" customHeight="1" x14ac:dyDescent="0.25">
      <c r="A43" s="28">
        <v>23000</v>
      </c>
      <c r="B43" s="538" t="s">
        <v>14</v>
      </c>
      <c r="C43" s="538">
        <v>23420</v>
      </c>
      <c r="D43" s="539" t="s">
        <v>137</v>
      </c>
      <c r="E43" s="826"/>
      <c r="F43" s="826"/>
      <c r="G43" s="826"/>
      <c r="H43" s="826"/>
      <c r="I43" s="826"/>
      <c r="J43" s="826"/>
      <c r="K43" s="798">
        <v>2077.5</v>
      </c>
      <c r="L43" s="797">
        <f t="shared" si="10"/>
        <v>7.0962563191692848E-2</v>
      </c>
      <c r="M43" s="798">
        <v>422</v>
      </c>
      <c r="N43" s="797">
        <f t="shared" si="11"/>
        <v>7.1634696995416733E-2</v>
      </c>
      <c r="O43" s="825"/>
      <c r="P43" s="824"/>
    </row>
    <row r="44" spans="1:16" ht="15.75" thickBot="1" x14ac:dyDescent="0.3">
      <c r="A44" s="28">
        <v>24000</v>
      </c>
      <c r="B44" s="801" t="s">
        <v>15</v>
      </c>
      <c r="C44" s="801">
        <v>24510</v>
      </c>
      <c r="D44" s="539" t="s">
        <v>138</v>
      </c>
      <c r="E44" s="826"/>
      <c r="F44" s="826"/>
      <c r="G44" s="826"/>
      <c r="H44" s="826"/>
      <c r="I44" s="826"/>
      <c r="J44" s="826"/>
      <c r="K44" s="808">
        <v>2318.5</v>
      </c>
      <c r="L44" s="797">
        <f t="shared" si="10"/>
        <v>7.919456209864735E-2</v>
      </c>
      <c r="M44" s="808">
        <v>328</v>
      </c>
      <c r="N44" s="807">
        <f t="shared" si="11"/>
        <v>5.5678153114921067E-2</v>
      </c>
      <c r="O44" s="825"/>
      <c r="P44" s="824"/>
    </row>
    <row r="45" spans="1:16" ht="15.75" thickBot="1" x14ac:dyDescent="0.3">
      <c r="A45" s="981" t="s">
        <v>28</v>
      </c>
      <c r="B45" s="982"/>
      <c r="C45" s="982"/>
      <c r="D45" s="985"/>
      <c r="E45" s="390"/>
      <c r="F45" s="390"/>
      <c r="G45" s="390"/>
      <c r="H45" s="390"/>
      <c r="I45" s="390"/>
      <c r="J45" s="390"/>
      <c r="K45" s="817">
        <f>SUM(K36:K44)</f>
        <v>29276</v>
      </c>
      <c r="L45" s="816">
        <f>SUM(L36:L44)</f>
        <v>1</v>
      </c>
      <c r="M45" s="817">
        <f>SUM(M36:M44)</f>
        <v>5891</v>
      </c>
      <c r="N45" s="816">
        <f>SUM(N36:N44)</f>
        <v>1</v>
      </c>
      <c r="O45" s="825"/>
      <c r="P45" s="824"/>
    </row>
    <row r="46" spans="1:16" ht="15.75" thickBot="1" x14ac:dyDescent="0.3">
      <c r="A46" t="s">
        <v>261</v>
      </c>
      <c r="O46" s="825"/>
      <c r="P46" s="824"/>
    </row>
    <row r="47" spans="1:16" ht="42" customHeight="1" x14ac:dyDescent="0.25">
      <c r="A47" s="988" t="s">
        <v>2</v>
      </c>
      <c r="B47" s="990" t="s">
        <v>3</v>
      </c>
      <c r="C47" s="990" t="s">
        <v>2</v>
      </c>
      <c r="D47" s="983" t="s">
        <v>133</v>
      </c>
      <c r="E47" s="390"/>
      <c r="F47" s="390"/>
      <c r="G47" s="390"/>
      <c r="H47" s="390"/>
      <c r="I47" s="390"/>
      <c r="J47" s="390"/>
      <c r="K47" s="992" t="s">
        <v>262</v>
      </c>
      <c r="L47" s="986" t="s">
        <v>134</v>
      </c>
      <c r="M47" s="992" t="s">
        <v>263</v>
      </c>
      <c r="N47" s="986" t="s">
        <v>134</v>
      </c>
      <c r="O47" s="825"/>
      <c r="P47" s="824"/>
    </row>
    <row r="48" spans="1:16" ht="77.25" customHeight="1" thickBot="1" x14ac:dyDescent="0.3">
      <c r="A48" s="989"/>
      <c r="B48" s="991"/>
      <c r="C48" s="991"/>
      <c r="D48" s="984"/>
      <c r="E48" s="390"/>
      <c r="F48" s="390"/>
      <c r="G48" s="390"/>
      <c r="H48" s="390"/>
      <c r="I48" s="390"/>
      <c r="J48" s="390"/>
      <c r="K48" s="993"/>
      <c r="L48" s="987"/>
      <c r="M48" s="993"/>
      <c r="N48" s="987"/>
      <c r="O48" s="825"/>
      <c r="P48" s="824"/>
    </row>
    <row r="49" spans="1:16" x14ac:dyDescent="0.25">
      <c r="A49" s="29">
        <v>11000</v>
      </c>
      <c r="B49" s="536" t="s">
        <v>4</v>
      </c>
      <c r="C49" s="781">
        <v>11410</v>
      </c>
      <c r="D49" s="537" t="s">
        <v>137</v>
      </c>
      <c r="E49" s="826"/>
      <c r="F49" s="826"/>
      <c r="G49" s="826"/>
      <c r="H49" s="826"/>
      <c r="I49" s="826"/>
      <c r="J49" s="826"/>
      <c r="K49" s="789">
        <v>4972</v>
      </c>
      <c r="L49" s="788">
        <f>K49/$K$58</f>
        <v>0.1707798787504079</v>
      </c>
      <c r="M49" s="789">
        <v>1005</v>
      </c>
      <c r="N49" s="788">
        <f>M49/$M$58</f>
        <v>0.17016593294954283</v>
      </c>
      <c r="O49" s="825"/>
      <c r="P49" s="824"/>
    </row>
    <row r="50" spans="1:16" x14ac:dyDescent="0.25">
      <c r="A50" s="28">
        <v>12000</v>
      </c>
      <c r="B50" s="538" t="s">
        <v>5</v>
      </c>
      <c r="C50" s="538">
        <v>12410</v>
      </c>
      <c r="D50" s="539" t="s">
        <v>137</v>
      </c>
      <c r="E50" s="826"/>
      <c r="F50" s="826"/>
      <c r="G50" s="826"/>
      <c r="H50" s="826"/>
      <c r="I50" s="826"/>
      <c r="J50" s="826"/>
      <c r="K50" s="798">
        <v>2037.5</v>
      </c>
      <c r="L50" s="797">
        <f t="shared" ref="L50:L57" si="12">K50/$K$58</f>
        <v>6.9984714994761874E-2</v>
      </c>
      <c r="M50" s="798">
        <v>513</v>
      </c>
      <c r="N50" s="797">
        <f t="shared" ref="N50:N57" si="13">M50/$M$58</f>
        <v>8.6860819505587536E-2</v>
      </c>
      <c r="O50" s="825"/>
      <c r="P50" s="824"/>
    </row>
    <row r="51" spans="1:16" ht="15" customHeight="1" x14ac:dyDescent="0.25">
      <c r="A51" s="28">
        <v>13000</v>
      </c>
      <c r="B51" s="538" t="s">
        <v>6</v>
      </c>
      <c r="C51" s="538">
        <v>13430</v>
      </c>
      <c r="D51" s="539" t="s">
        <v>137</v>
      </c>
      <c r="E51" s="826"/>
      <c r="F51" s="826"/>
      <c r="G51" s="826"/>
      <c r="H51" s="826"/>
      <c r="I51" s="826"/>
      <c r="J51" s="826"/>
      <c r="K51" s="798">
        <v>2432.5</v>
      </c>
      <c r="L51" s="797">
        <f t="shared" si="12"/>
        <v>8.3552303913991793E-2</v>
      </c>
      <c r="M51" s="798">
        <v>429</v>
      </c>
      <c r="N51" s="797">
        <f t="shared" si="13"/>
        <v>7.2637995259058591E-2</v>
      </c>
      <c r="O51" s="825"/>
      <c r="P51" s="824"/>
    </row>
    <row r="52" spans="1:16" x14ac:dyDescent="0.25">
      <c r="A52" s="28">
        <v>14000</v>
      </c>
      <c r="B52" s="538" t="s">
        <v>7</v>
      </c>
      <c r="C52" s="538">
        <v>14410</v>
      </c>
      <c r="D52" s="539" t="s">
        <v>137</v>
      </c>
      <c r="E52" s="826"/>
      <c r="F52" s="826"/>
      <c r="G52" s="826"/>
      <c r="H52" s="826"/>
      <c r="I52" s="826"/>
      <c r="J52" s="826"/>
      <c r="K52" s="798">
        <v>4847.5</v>
      </c>
      <c r="L52" s="797">
        <f t="shared" si="12"/>
        <v>0.16650351211637213</v>
      </c>
      <c r="M52" s="798">
        <v>1159</v>
      </c>
      <c r="N52" s="797">
        <f t="shared" si="13"/>
        <v>0.19624111073484593</v>
      </c>
      <c r="O52" s="825"/>
      <c r="P52" s="824"/>
    </row>
    <row r="53" spans="1:16" x14ac:dyDescent="0.25">
      <c r="A53" s="28">
        <v>15000</v>
      </c>
      <c r="B53" s="538" t="s">
        <v>8</v>
      </c>
      <c r="C53" s="538">
        <v>15410</v>
      </c>
      <c r="D53" s="539" t="s">
        <v>137</v>
      </c>
      <c r="E53" s="826"/>
      <c r="F53" s="826"/>
      <c r="G53" s="826"/>
      <c r="H53" s="826"/>
      <c r="I53" s="826"/>
      <c r="J53" s="826"/>
      <c r="K53" s="798">
        <v>5240.5</v>
      </c>
      <c r="L53" s="797">
        <f t="shared" si="12"/>
        <v>0.18000240438284645</v>
      </c>
      <c r="M53" s="798">
        <v>993</v>
      </c>
      <c r="N53" s="797">
        <f t="shared" si="13"/>
        <v>0.1681341009143244</v>
      </c>
      <c r="O53" s="825"/>
      <c r="P53" s="824"/>
    </row>
    <row r="54" spans="1:16" x14ac:dyDescent="0.25">
      <c r="A54" s="28">
        <v>17000</v>
      </c>
      <c r="B54" s="538" t="s">
        <v>9</v>
      </c>
      <c r="C54" s="538">
        <v>17450</v>
      </c>
      <c r="D54" s="539" t="s">
        <v>137</v>
      </c>
      <c r="E54" s="826"/>
      <c r="F54" s="826"/>
      <c r="G54" s="826"/>
      <c r="H54" s="826"/>
      <c r="I54" s="826"/>
      <c r="J54" s="826"/>
      <c r="K54" s="798">
        <v>2512</v>
      </c>
      <c r="L54" s="797">
        <f t="shared" si="12"/>
        <v>8.6282995861026668E-2</v>
      </c>
      <c r="M54" s="798">
        <v>553</v>
      </c>
      <c r="N54" s="797">
        <f t="shared" si="13"/>
        <v>9.3633592956315612E-2</v>
      </c>
      <c r="O54" s="825"/>
      <c r="P54" s="824"/>
    </row>
    <row r="55" spans="1:16" x14ac:dyDescent="0.25">
      <c r="A55" s="28">
        <v>18000</v>
      </c>
      <c r="B55" s="538" t="s">
        <v>10</v>
      </c>
      <c r="C55" s="538">
        <v>18440</v>
      </c>
      <c r="D55" s="539" t="s">
        <v>137</v>
      </c>
      <c r="E55" s="826"/>
      <c r="F55" s="826"/>
      <c r="G55" s="826"/>
      <c r="H55" s="826"/>
      <c r="I55" s="826"/>
      <c r="J55" s="826"/>
      <c r="K55" s="798">
        <v>2774.5</v>
      </c>
      <c r="L55" s="797">
        <f t="shared" si="12"/>
        <v>9.5299431535198445E-2</v>
      </c>
      <c r="M55" s="798">
        <v>567</v>
      </c>
      <c r="N55" s="797">
        <f t="shared" si="13"/>
        <v>9.6004063664070438E-2</v>
      </c>
      <c r="O55" s="825"/>
      <c r="P55" s="824"/>
    </row>
    <row r="56" spans="1:16" x14ac:dyDescent="0.25">
      <c r="A56" s="28">
        <v>23000</v>
      </c>
      <c r="B56" s="538" t="s">
        <v>14</v>
      </c>
      <c r="C56" s="538">
        <v>23420</v>
      </c>
      <c r="D56" s="539" t="s">
        <v>137</v>
      </c>
      <c r="E56" s="826"/>
      <c r="F56" s="826"/>
      <c r="G56" s="826"/>
      <c r="H56" s="826"/>
      <c r="I56" s="826"/>
      <c r="J56" s="826"/>
      <c r="K56" s="798">
        <v>2078</v>
      </c>
      <c r="L56" s="797">
        <f t="shared" si="12"/>
        <v>7.137582221306267E-2</v>
      </c>
      <c r="M56" s="798">
        <v>376</v>
      </c>
      <c r="N56" s="797">
        <f t="shared" si="13"/>
        <v>6.3664070436843884E-2</v>
      </c>
      <c r="O56" s="825"/>
      <c r="P56" s="824"/>
    </row>
    <row r="57" spans="1:16" ht="15.75" thickBot="1" x14ac:dyDescent="0.3">
      <c r="A57" s="28">
        <v>24000</v>
      </c>
      <c r="B57" s="801" t="s">
        <v>15</v>
      </c>
      <c r="C57" s="801">
        <v>24510</v>
      </c>
      <c r="D57" s="539" t="s">
        <v>138</v>
      </c>
      <c r="E57" s="826"/>
      <c r="F57" s="826"/>
      <c r="G57" s="826"/>
      <c r="H57" s="826"/>
      <c r="I57" s="826"/>
      <c r="J57" s="826"/>
      <c r="K57" s="808">
        <v>2219</v>
      </c>
      <c r="L57" s="807">
        <f t="shared" si="12"/>
        <v>7.6218936232332085E-2</v>
      </c>
      <c r="M57" s="808">
        <v>311</v>
      </c>
      <c r="N57" s="807">
        <f t="shared" si="13"/>
        <v>5.2658313579410768E-2</v>
      </c>
      <c r="O57" s="825"/>
      <c r="P57" s="824"/>
    </row>
    <row r="58" spans="1:16" ht="15.75" thickBot="1" x14ac:dyDescent="0.3">
      <c r="A58" s="981" t="s">
        <v>28</v>
      </c>
      <c r="B58" s="982"/>
      <c r="C58" s="982"/>
      <c r="D58" s="985"/>
      <c r="E58" s="390"/>
      <c r="F58" s="390"/>
      <c r="G58" s="390"/>
      <c r="H58" s="390"/>
      <c r="I58" s="390"/>
      <c r="J58" s="390"/>
      <c r="K58" s="817">
        <f>SUM(K49:K57)</f>
        <v>29113.5</v>
      </c>
      <c r="L58" s="816">
        <f>SUM(L49:L57)</f>
        <v>1</v>
      </c>
      <c r="M58" s="817">
        <f>SUM(M49:M57)</f>
        <v>5906</v>
      </c>
      <c r="N58" s="816">
        <f>SUM(N49:N57)</f>
        <v>0.99999999999999989</v>
      </c>
      <c r="O58" s="825"/>
      <c r="P58" s="824"/>
    </row>
    <row r="59" spans="1:16" x14ac:dyDescent="0.25">
      <c r="A59" s="609" t="s">
        <v>252</v>
      </c>
      <c r="B59" s="38"/>
    </row>
  </sheetData>
  <mergeCells count="50">
    <mergeCell ref="O5:P5"/>
    <mergeCell ref="A5:D5"/>
    <mergeCell ref="E5:F5"/>
    <mergeCell ref="G5:J5"/>
    <mergeCell ref="K5:L5"/>
    <mergeCell ref="M5:N5"/>
    <mergeCell ref="O6:O7"/>
    <mergeCell ref="P6:P7"/>
    <mergeCell ref="A17:D17"/>
    <mergeCell ref="H6:H7"/>
    <mergeCell ref="I6:I7"/>
    <mergeCell ref="J6:J7"/>
    <mergeCell ref="K6:K7"/>
    <mergeCell ref="L6:L7"/>
    <mergeCell ref="M6:M7"/>
    <mergeCell ref="A6:A7"/>
    <mergeCell ref="B6:B7"/>
    <mergeCell ref="D6:D7"/>
    <mergeCell ref="E6:E7"/>
    <mergeCell ref="F6:F7"/>
    <mergeCell ref="G6:G7"/>
    <mergeCell ref="C6:C7"/>
    <mergeCell ref="N6:N7"/>
    <mergeCell ref="A34:A35"/>
    <mergeCell ref="B34:B35"/>
    <mergeCell ref="C34:C35"/>
    <mergeCell ref="D34:D35"/>
    <mergeCell ref="K34:K35"/>
    <mergeCell ref="L34:L35"/>
    <mergeCell ref="M34:M35"/>
    <mergeCell ref="N34:N35"/>
    <mergeCell ref="K21:K22"/>
    <mergeCell ref="L21:L22"/>
    <mergeCell ref="M21:M22"/>
    <mergeCell ref="N21:N22"/>
    <mergeCell ref="A21:A22"/>
    <mergeCell ref="B21:B22"/>
    <mergeCell ref="C21:C22"/>
    <mergeCell ref="D21:D22"/>
    <mergeCell ref="A32:D32"/>
    <mergeCell ref="A45:D45"/>
    <mergeCell ref="N47:N48"/>
    <mergeCell ref="A58:D58"/>
    <mergeCell ref="A47:A48"/>
    <mergeCell ref="B47:B48"/>
    <mergeCell ref="C47:C48"/>
    <mergeCell ref="D47:D48"/>
    <mergeCell ref="K47:K48"/>
    <mergeCell ref="L47:L48"/>
    <mergeCell ref="M47:M48"/>
  </mergeCells>
  <hyperlinks>
    <hyperlink ref="A59" location="'0 Seznam'!A1" display="Seznam" xr:uid="{8B7B23EC-54C0-4F39-A304-00F19E97B628}"/>
  </hyperlinks>
  <pageMargins left="0.70866141732283472" right="0.70866141732283472" top="0.78740157480314965" bottom="0.78740157480314965" header="0.31496062992125984" footer="0.31496062992125984"/>
  <pageSetup paperSize="8" scale="73" orientation="landscape" r:id="rId1"/>
  <headerFooter>
    <oddHeader xml:space="preserve">&amp;LČ. j.:999/2024-1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I96"/>
  <sheetViews>
    <sheetView zoomScale="70" zoomScaleNormal="70" workbookViewId="0">
      <selection activeCell="B28" sqref="B28"/>
    </sheetView>
  </sheetViews>
  <sheetFormatPr defaultRowHeight="15" x14ac:dyDescent="0.25"/>
  <cols>
    <col min="1" max="1" width="2.140625" customWidth="1"/>
    <col min="3" max="3" width="51.140625" customWidth="1"/>
    <col min="4" max="4" width="28" bestFit="1" customWidth="1"/>
    <col min="5" max="8" width="28" customWidth="1"/>
    <col min="9" max="9" width="24.5703125" customWidth="1"/>
  </cols>
  <sheetData>
    <row r="1" spans="1:9" ht="27.75" x14ac:dyDescent="0.25">
      <c r="A1" s="308" t="s">
        <v>165</v>
      </c>
    </row>
    <row r="2" spans="1:9" ht="15.75" customHeight="1" x14ac:dyDescent="0.25">
      <c r="A2" s="308"/>
      <c r="B2" t="s">
        <v>175</v>
      </c>
    </row>
    <row r="3" spans="1:9" ht="15.75" customHeight="1" x14ac:dyDescent="0.25">
      <c r="A3" s="308"/>
    </row>
    <row r="4" spans="1:9" ht="15.75" customHeight="1" x14ac:dyDescent="0.25">
      <c r="A4" s="308"/>
    </row>
    <row r="5" spans="1:9" ht="15.75" customHeight="1" x14ac:dyDescent="0.25">
      <c r="A5" s="308"/>
      <c r="C5" s="520" t="s">
        <v>315</v>
      </c>
      <c r="D5" s="11">
        <v>85000000</v>
      </c>
      <c r="E5" t="s">
        <v>34</v>
      </c>
    </row>
    <row r="6" spans="1:9" ht="15.75" customHeight="1" thickBot="1" x14ac:dyDescent="0.3">
      <c r="A6" s="308"/>
    </row>
    <row r="7" spans="1:9" ht="15.75" thickBot="1" x14ac:dyDescent="0.3">
      <c r="D7" s="1014">
        <v>0.4</v>
      </c>
      <c r="E7" s="1015"/>
      <c r="F7" s="1014">
        <v>0.6</v>
      </c>
      <c r="G7" s="1016"/>
    </row>
    <row r="8" spans="1:9" ht="15" customHeight="1" x14ac:dyDescent="0.25">
      <c r="B8" s="1017" t="s">
        <v>2</v>
      </c>
      <c r="C8" s="1019" t="s">
        <v>3</v>
      </c>
      <c r="D8" s="1021" t="s">
        <v>166</v>
      </c>
      <c r="E8" s="1022"/>
      <c r="F8" s="1023" t="s">
        <v>167</v>
      </c>
      <c r="G8" s="1024"/>
      <c r="H8" s="1013" t="s">
        <v>28</v>
      </c>
      <c r="I8" s="1012"/>
    </row>
    <row r="9" spans="1:9" ht="34.5" customHeight="1" thickBot="1" x14ac:dyDescent="0.3">
      <c r="B9" s="1018"/>
      <c r="C9" s="1020"/>
      <c r="D9" s="478" t="s">
        <v>168</v>
      </c>
      <c r="E9" s="479" t="s">
        <v>134</v>
      </c>
      <c r="F9" s="480" t="s">
        <v>168</v>
      </c>
      <c r="G9" s="481" t="s">
        <v>134</v>
      </c>
      <c r="H9" s="479" t="s">
        <v>134</v>
      </c>
      <c r="I9" s="481" t="s">
        <v>136</v>
      </c>
    </row>
    <row r="10" spans="1:9" x14ac:dyDescent="0.25">
      <c r="B10" s="482">
        <v>11000</v>
      </c>
      <c r="C10" s="483" t="s">
        <v>4</v>
      </c>
      <c r="D10" s="484"/>
      <c r="E10" s="485">
        <f t="shared" ref="E10:E26" si="0">0.5*E33+0.3*E55+0.2*E77</f>
        <v>0.18361846106636731</v>
      </c>
      <c r="F10" s="486"/>
      <c r="G10" s="487">
        <f t="shared" ref="G10:G26" si="1">0.5*G33+0.3*G55+0.2*G77</f>
        <v>0.16660013367658022</v>
      </c>
      <c r="H10" s="488">
        <f>$D$7*E10+$F$7*G10</f>
        <v>0.17340746463249507</v>
      </c>
      <c r="I10" s="489">
        <f>ROUND(H10*$D$5+0.2,0)</f>
        <v>14739635</v>
      </c>
    </row>
    <row r="11" spans="1:9" x14ac:dyDescent="0.25">
      <c r="B11" s="490">
        <v>12000</v>
      </c>
      <c r="C11" s="491" t="s">
        <v>5</v>
      </c>
      <c r="D11" s="492"/>
      <c r="E11" s="493">
        <f t="shared" si="0"/>
        <v>6.2853592207358866E-2</v>
      </c>
      <c r="F11" s="439"/>
      <c r="G11" s="440">
        <f t="shared" si="1"/>
        <v>7.1350944928268364E-2</v>
      </c>
      <c r="H11" s="494">
        <f t="shared" ref="H11:H26" si="2">$D$7*E11+$F$7*G11</f>
        <v>6.7952003839904573E-2</v>
      </c>
      <c r="I11" s="437">
        <f t="shared" ref="I11:I26" si="3">ROUND(H11*$D$5,0)</f>
        <v>5775920</v>
      </c>
    </row>
    <row r="12" spans="1:9" x14ac:dyDescent="0.25">
      <c r="B12" s="490">
        <v>13000</v>
      </c>
      <c r="C12" s="491" t="s">
        <v>6</v>
      </c>
      <c r="D12" s="492"/>
      <c r="E12" s="493">
        <f t="shared" si="0"/>
        <v>6.9038315129945904E-2</v>
      </c>
      <c r="F12" s="439"/>
      <c r="G12" s="440">
        <f t="shared" si="1"/>
        <v>4.7739242265007059E-2</v>
      </c>
      <c r="H12" s="494">
        <f t="shared" si="2"/>
        <v>5.6258871410982597E-2</v>
      </c>
      <c r="I12" s="437">
        <f t="shared" si="3"/>
        <v>4782004</v>
      </c>
    </row>
    <row r="13" spans="1:9" x14ac:dyDescent="0.25">
      <c r="B13" s="490">
        <v>14000</v>
      </c>
      <c r="C13" s="491" t="s">
        <v>7</v>
      </c>
      <c r="D13" s="492"/>
      <c r="E13" s="493">
        <f t="shared" si="0"/>
        <v>0.16717758517037359</v>
      </c>
      <c r="F13" s="439"/>
      <c r="G13" s="440">
        <f t="shared" si="1"/>
        <v>0.20033018766095803</v>
      </c>
      <c r="H13" s="494">
        <f t="shared" si="2"/>
        <v>0.18706914666472424</v>
      </c>
      <c r="I13" s="437">
        <f t="shared" si="3"/>
        <v>15900877</v>
      </c>
    </row>
    <row r="14" spans="1:9" x14ac:dyDescent="0.25">
      <c r="B14" s="490">
        <v>15000</v>
      </c>
      <c r="C14" s="491" t="s">
        <v>8</v>
      </c>
      <c r="D14" s="492"/>
      <c r="E14" s="493">
        <f t="shared" si="0"/>
        <v>0.19476484551362766</v>
      </c>
      <c r="F14" s="439"/>
      <c r="G14" s="440">
        <f t="shared" si="1"/>
        <v>0.18896191331061191</v>
      </c>
      <c r="H14" s="494">
        <f t="shared" si="2"/>
        <v>0.19128308619181822</v>
      </c>
      <c r="I14" s="437">
        <f t="shared" si="3"/>
        <v>16259062</v>
      </c>
    </row>
    <row r="15" spans="1:9" x14ac:dyDescent="0.25">
      <c r="B15" s="490">
        <v>17000</v>
      </c>
      <c r="C15" s="491" t="s">
        <v>9</v>
      </c>
      <c r="D15" s="492"/>
      <c r="E15" s="493">
        <f t="shared" si="0"/>
        <v>6.9973325854429641E-2</v>
      </c>
      <c r="F15" s="439"/>
      <c r="G15" s="440">
        <f t="shared" si="1"/>
        <v>8.0249490567287696E-2</v>
      </c>
      <c r="H15" s="494">
        <f t="shared" si="2"/>
        <v>7.6139024682144479E-2</v>
      </c>
      <c r="I15" s="437">
        <f t="shared" si="3"/>
        <v>6471817</v>
      </c>
    </row>
    <row r="16" spans="1:9" x14ac:dyDescent="0.25">
      <c r="B16" s="490">
        <v>18000</v>
      </c>
      <c r="C16" s="491" t="s">
        <v>10</v>
      </c>
      <c r="D16" s="492"/>
      <c r="E16" s="493">
        <f t="shared" si="0"/>
        <v>7.8570713990932461E-2</v>
      </c>
      <c r="F16" s="439"/>
      <c r="G16" s="440">
        <f t="shared" si="1"/>
        <v>7.3510931177338035E-2</v>
      </c>
      <c r="H16" s="494">
        <f t="shared" si="2"/>
        <v>7.5534844302775808E-2</v>
      </c>
      <c r="I16" s="437">
        <f>ROUND(H16*$D$5,0)</f>
        <v>6420462</v>
      </c>
    </row>
    <row r="17" spans="2:9" x14ac:dyDescent="0.25">
      <c r="B17" s="490">
        <v>19000</v>
      </c>
      <c r="C17" s="491" t="s">
        <v>11</v>
      </c>
      <c r="D17" s="492"/>
      <c r="E17" s="493">
        <f t="shared" si="0"/>
        <v>1.1788600393243124E-2</v>
      </c>
      <c r="F17" s="439"/>
      <c r="G17" s="440">
        <f t="shared" si="1"/>
        <v>9.8762303600649689E-3</v>
      </c>
      <c r="H17" s="494">
        <f t="shared" si="2"/>
        <v>1.0641178373336231E-2</v>
      </c>
      <c r="I17" s="437">
        <f t="shared" si="3"/>
        <v>904500</v>
      </c>
    </row>
    <row r="18" spans="2:9" x14ac:dyDescent="0.25">
      <c r="B18" s="490">
        <v>21000</v>
      </c>
      <c r="C18" s="491" t="s">
        <v>12</v>
      </c>
      <c r="D18" s="492"/>
      <c r="E18" s="493">
        <f t="shared" si="0"/>
        <v>4.2251963845065946E-3</v>
      </c>
      <c r="F18" s="439"/>
      <c r="G18" s="440">
        <f t="shared" si="1"/>
        <v>5.5515110759698635E-3</v>
      </c>
      <c r="H18" s="494">
        <f t="shared" si="2"/>
        <v>5.0209851993845561E-3</v>
      </c>
      <c r="I18" s="437">
        <f t="shared" si="3"/>
        <v>426784</v>
      </c>
    </row>
    <row r="19" spans="2:9" x14ac:dyDescent="0.25">
      <c r="B19" s="490">
        <v>22000</v>
      </c>
      <c r="C19" s="491" t="s">
        <v>13</v>
      </c>
      <c r="D19" s="492"/>
      <c r="E19" s="493">
        <f t="shared" si="0"/>
        <v>2.8733772050497619E-4</v>
      </c>
      <c r="F19" s="439"/>
      <c r="G19" s="440">
        <f t="shared" si="1"/>
        <v>2.671525916020236E-4</v>
      </c>
      <c r="H19" s="494">
        <f t="shared" si="2"/>
        <v>2.752266431632046E-4</v>
      </c>
      <c r="I19" s="437">
        <f t="shared" si="3"/>
        <v>23394</v>
      </c>
    </row>
    <row r="20" spans="2:9" x14ac:dyDescent="0.25">
      <c r="B20" s="490">
        <v>23000</v>
      </c>
      <c r="C20" s="491" t="s">
        <v>14</v>
      </c>
      <c r="D20" s="492"/>
      <c r="E20" s="493">
        <f t="shared" si="0"/>
        <v>5.6830604618259041E-2</v>
      </c>
      <c r="F20" s="439"/>
      <c r="G20" s="440">
        <f t="shared" si="1"/>
        <v>5.0573489904678151E-2</v>
      </c>
      <c r="H20" s="494">
        <f t="shared" si="2"/>
        <v>5.3076335790110507E-2</v>
      </c>
      <c r="I20" s="437">
        <f t="shared" si="3"/>
        <v>4511489</v>
      </c>
    </row>
    <row r="21" spans="2:9" x14ac:dyDescent="0.25">
      <c r="B21" s="490">
        <v>24000</v>
      </c>
      <c r="C21" s="491" t="s">
        <v>15</v>
      </c>
      <c r="D21" s="492"/>
      <c r="E21" s="493">
        <f t="shared" si="0"/>
        <v>5.2496410543132338E-2</v>
      </c>
      <c r="F21" s="439"/>
      <c r="G21" s="440">
        <f t="shared" si="1"/>
        <v>3.6781229191243769E-2</v>
      </c>
      <c r="H21" s="494">
        <f t="shared" si="2"/>
        <v>4.30673017319992E-2</v>
      </c>
      <c r="I21" s="437">
        <f t="shared" si="3"/>
        <v>3660721</v>
      </c>
    </row>
    <row r="22" spans="2:9" x14ac:dyDescent="0.25">
      <c r="B22" s="490">
        <v>25000</v>
      </c>
      <c r="C22" s="491" t="s">
        <v>16</v>
      </c>
      <c r="D22" s="492"/>
      <c r="E22" s="493">
        <f t="shared" si="0"/>
        <v>2.5113436584861095E-3</v>
      </c>
      <c r="F22" s="439"/>
      <c r="G22" s="440">
        <f t="shared" si="1"/>
        <v>5.6510624313896463E-3</v>
      </c>
      <c r="H22" s="494">
        <f t="shared" si="2"/>
        <v>4.3951749222282312E-3</v>
      </c>
      <c r="I22" s="437">
        <f>ROUND(H22*$D$5,0)</f>
        <v>373590</v>
      </c>
    </row>
    <row r="23" spans="2:9" x14ac:dyDescent="0.25">
      <c r="B23" s="490">
        <v>28000</v>
      </c>
      <c r="C23" s="491" t="s">
        <v>19</v>
      </c>
      <c r="D23" s="492"/>
      <c r="E23" s="493">
        <f t="shared" si="0"/>
        <v>2.9904329455023491E-2</v>
      </c>
      <c r="F23" s="439"/>
      <c r="G23" s="440">
        <f t="shared" si="1"/>
        <v>4.0628052256071107E-2</v>
      </c>
      <c r="H23" s="494">
        <f t="shared" si="2"/>
        <v>3.6338563135652063E-2</v>
      </c>
      <c r="I23" s="437">
        <f>ROUND(H23*$D$5,0)</f>
        <v>3088778</v>
      </c>
    </row>
    <row r="24" spans="2:9" x14ac:dyDescent="0.25">
      <c r="B24" s="490">
        <v>31000</v>
      </c>
      <c r="C24" s="863" t="s">
        <v>20</v>
      </c>
      <c r="D24" s="492"/>
      <c r="E24" s="493">
        <f t="shared" si="0"/>
        <v>1.9150536898980918E-4</v>
      </c>
      <c r="F24" s="439"/>
      <c r="G24" s="440">
        <f t="shared" si="1"/>
        <v>0</v>
      </c>
      <c r="H24" s="494">
        <f t="shared" si="2"/>
        <v>7.6602147595923679E-5</v>
      </c>
      <c r="I24" s="437">
        <f>ROUND(H24*$D$5,0)</f>
        <v>6511</v>
      </c>
    </row>
    <row r="25" spans="2:9" x14ac:dyDescent="0.25">
      <c r="B25" s="490">
        <v>41000</v>
      </c>
      <c r="C25" s="491" t="s">
        <v>21</v>
      </c>
      <c r="D25" s="492"/>
      <c r="E25" s="493">
        <f t="shared" si="0"/>
        <v>9.5434894018767164E-3</v>
      </c>
      <c r="F25" s="439"/>
      <c r="G25" s="440">
        <f t="shared" si="1"/>
        <v>1.3119140591432182E-2</v>
      </c>
      <c r="H25" s="494">
        <f t="shared" si="2"/>
        <v>1.1688880115609996E-2</v>
      </c>
      <c r="I25" s="437">
        <f t="shared" si="3"/>
        <v>993555</v>
      </c>
    </row>
    <row r="26" spans="2:9" ht="15.75" thickBot="1" x14ac:dyDescent="0.3">
      <c r="B26" s="495">
        <v>43000</v>
      </c>
      <c r="C26" s="496" t="s">
        <v>22</v>
      </c>
      <c r="D26" s="497"/>
      <c r="E26" s="498">
        <f t="shared" si="0"/>
        <v>6.2243435229423242E-3</v>
      </c>
      <c r="F26" s="499"/>
      <c r="G26" s="500">
        <f t="shared" si="1"/>
        <v>8.8092880114969997E-3</v>
      </c>
      <c r="H26" s="501">
        <f t="shared" si="2"/>
        <v>7.7753102160751297E-3</v>
      </c>
      <c r="I26" s="502">
        <f t="shared" si="3"/>
        <v>660901</v>
      </c>
    </row>
    <row r="27" spans="2:9" ht="15.75" thickBot="1" x14ac:dyDescent="0.3">
      <c r="B27" s="1025" t="s">
        <v>118</v>
      </c>
      <c r="C27" s="1026"/>
      <c r="D27" s="503">
        <f t="shared" ref="D27:I27" si="4">SUM(D10:D26)</f>
        <v>0</v>
      </c>
      <c r="E27" s="504">
        <f t="shared" si="4"/>
        <v>1.0000000000000002</v>
      </c>
      <c r="F27" s="505">
        <f t="shared" si="4"/>
        <v>0</v>
      </c>
      <c r="G27" s="506">
        <f t="shared" si="4"/>
        <v>1</v>
      </c>
      <c r="H27" s="504">
        <f t="shared" si="4"/>
        <v>1</v>
      </c>
      <c r="I27" s="507">
        <f t="shared" si="4"/>
        <v>85000000</v>
      </c>
    </row>
    <row r="28" spans="2:9" x14ac:dyDescent="0.25">
      <c r="B28" s="389" t="s">
        <v>174</v>
      </c>
    </row>
    <row r="29" spans="2:9" x14ac:dyDescent="0.25">
      <c r="B29" s="389"/>
    </row>
    <row r="30" spans="2:9" ht="15.75" thickBot="1" x14ac:dyDescent="0.3">
      <c r="B30" t="s">
        <v>308</v>
      </c>
    </row>
    <row r="31" spans="2:9" ht="15" customHeight="1" x14ac:dyDescent="0.25">
      <c r="B31" s="1017" t="s">
        <v>2</v>
      </c>
      <c r="C31" s="1019" t="s">
        <v>3</v>
      </c>
      <c r="D31" s="1027" t="s">
        <v>320</v>
      </c>
      <c r="E31" s="1013"/>
      <c r="F31" s="1011" t="s">
        <v>316</v>
      </c>
      <c r="G31" s="1012"/>
    </row>
    <row r="32" spans="2:9" ht="15.75" thickBot="1" x14ac:dyDescent="0.3">
      <c r="B32" s="1018"/>
      <c r="C32" s="1020"/>
      <c r="D32" s="478" t="s">
        <v>168</v>
      </c>
      <c r="E32" s="479" t="s">
        <v>134</v>
      </c>
      <c r="F32" s="480" t="s">
        <v>168</v>
      </c>
      <c r="G32" s="481" t="s">
        <v>134</v>
      </c>
    </row>
    <row r="33" spans="2:7" x14ac:dyDescent="0.25">
      <c r="B33" s="482">
        <v>1100</v>
      </c>
      <c r="C33" s="483" t="s">
        <v>4</v>
      </c>
      <c r="D33" s="484">
        <v>6681.5</v>
      </c>
      <c r="E33" s="485">
        <f t="shared" ref="E33:E49" si="5">D33/$D$50</f>
        <v>0.18279187470077285</v>
      </c>
      <c r="F33" s="486">
        <v>1389</v>
      </c>
      <c r="G33" s="487">
        <f t="shared" ref="G33:G49" si="6">F33/$F$50</f>
        <v>0.16686689091782797</v>
      </c>
    </row>
    <row r="34" spans="2:7" x14ac:dyDescent="0.25">
      <c r="B34" s="490">
        <v>1200</v>
      </c>
      <c r="C34" s="491" t="s">
        <v>5</v>
      </c>
      <c r="D34" s="492">
        <v>2283</v>
      </c>
      <c r="E34" s="493">
        <f t="shared" si="5"/>
        <v>6.2458108200533477E-2</v>
      </c>
      <c r="F34" s="439">
        <v>603</v>
      </c>
      <c r="G34" s="440">
        <f t="shared" si="6"/>
        <v>7.2441134070158578E-2</v>
      </c>
    </row>
    <row r="35" spans="2:7" x14ac:dyDescent="0.25">
      <c r="B35" s="490">
        <v>1300</v>
      </c>
      <c r="C35" s="491" t="s">
        <v>6</v>
      </c>
      <c r="D35" s="492">
        <v>2690</v>
      </c>
      <c r="E35" s="493">
        <f t="shared" si="5"/>
        <v>7.3592777511798102E-2</v>
      </c>
      <c r="F35" s="439">
        <v>400</v>
      </c>
      <c r="G35" s="440">
        <f t="shared" si="6"/>
        <v>4.8053820278712155E-2</v>
      </c>
    </row>
    <row r="36" spans="2:7" x14ac:dyDescent="0.25">
      <c r="B36" s="490">
        <v>1400</v>
      </c>
      <c r="C36" s="491" t="s">
        <v>7</v>
      </c>
      <c r="D36" s="492">
        <v>6031.5</v>
      </c>
      <c r="E36" s="493">
        <f t="shared" si="5"/>
        <v>0.16500923329457629</v>
      </c>
      <c r="F36" s="439">
        <v>1652</v>
      </c>
      <c r="G36" s="440">
        <f t="shared" si="6"/>
        <v>0.19846227775108122</v>
      </c>
    </row>
    <row r="37" spans="2:7" x14ac:dyDescent="0.25">
      <c r="B37" s="490">
        <v>1500</v>
      </c>
      <c r="C37" s="491" t="s">
        <v>8</v>
      </c>
      <c r="D37" s="492">
        <v>6941.5</v>
      </c>
      <c r="E37" s="493">
        <f t="shared" si="5"/>
        <v>0.18990493126325148</v>
      </c>
      <c r="F37" s="439">
        <v>1612</v>
      </c>
      <c r="G37" s="440">
        <f t="shared" si="6"/>
        <v>0.19365689572320999</v>
      </c>
    </row>
    <row r="38" spans="2:7" x14ac:dyDescent="0.25">
      <c r="B38" s="490">
        <v>1700</v>
      </c>
      <c r="C38" s="491" t="s">
        <v>9</v>
      </c>
      <c r="D38" s="492">
        <v>2612.5</v>
      </c>
      <c r="E38" s="493">
        <f t="shared" si="5"/>
        <v>7.1472539497982351E-2</v>
      </c>
      <c r="F38" s="439">
        <v>667</v>
      </c>
      <c r="G38" s="440">
        <f t="shared" si="6"/>
        <v>8.0129745314752518E-2</v>
      </c>
    </row>
    <row r="39" spans="2:7" x14ac:dyDescent="0.25">
      <c r="B39" s="490">
        <v>1800</v>
      </c>
      <c r="C39" s="491" t="s">
        <v>10</v>
      </c>
      <c r="D39" s="492">
        <v>2923</v>
      </c>
      <c r="E39" s="493">
        <f t="shared" si="5"/>
        <v>7.9967170508173174E-2</v>
      </c>
      <c r="F39" s="439">
        <v>606</v>
      </c>
      <c r="G39" s="440">
        <f t="shared" si="6"/>
        <v>7.2801537722248913E-2</v>
      </c>
    </row>
    <row r="40" spans="2:7" x14ac:dyDescent="0.25">
      <c r="B40" s="490">
        <v>1900</v>
      </c>
      <c r="C40" s="491" t="s">
        <v>11</v>
      </c>
      <c r="D40" s="492">
        <v>447.5</v>
      </c>
      <c r="E40" s="493">
        <f t="shared" si="5"/>
        <v>1.2242664660419945E-2</v>
      </c>
      <c r="F40" s="439">
        <v>97</v>
      </c>
      <c r="G40" s="440">
        <f t="shared" si="6"/>
        <v>1.1653051417587698E-2</v>
      </c>
    </row>
    <row r="41" spans="2:7" x14ac:dyDescent="0.25">
      <c r="B41" s="490">
        <v>2100</v>
      </c>
      <c r="C41" s="491" t="s">
        <v>12</v>
      </c>
      <c r="D41" s="492">
        <v>169.5</v>
      </c>
      <c r="E41" s="493">
        <f t="shared" si="5"/>
        <v>4.6371657205389509E-3</v>
      </c>
      <c r="F41" s="439">
        <v>16</v>
      </c>
      <c r="G41" s="440">
        <f t="shared" si="6"/>
        <v>1.9221528111484864E-3</v>
      </c>
    </row>
    <row r="42" spans="2:7" x14ac:dyDescent="0.25">
      <c r="B42" s="490">
        <v>2200</v>
      </c>
      <c r="C42" s="491" t="s">
        <v>13</v>
      </c>
      <c r="D42" s="492">
        <v>20.5</v>
      </c>
      <c r="E42" s="493">
        <f t="shared" si="5"/>
        <v>5.6083715204158398E-4</v>
      </c>
      <c r="F42" s="439">
        <v>1</v>
      </c>
      <c r="G42" s="440">
        <f t="shared" si="6"/>
        <v>1.201345506967804E-4</v>
      </c>
    </row>
    <row r="43" spans="2:7" x14ac:dyDescent="0.25">
      <c r="B43" s="490">
        <v>2300</v>
      </c>
      <c r="C43" s="491" t="s">
        <v>14</v>
      </c>
      <c r="D43" s="492">
        <v>2113.5</v>
      </c>
      <c r="E43" s="493">
        <f t="shared" si="5"/>
        <v>5.782094247999453E-2</v>
      </c>
      <c r="F43" s="439">
        <v>459</v>
      </c>
      <c r="G43" s="440">
        <f t="shared" si="6"/>
        <v>5.5141758769822198E-2</v>
      </c>
    </row>
    <row r="44" spans="2:7" x14ac:dyDescent="0.25">
      <c r="B44" s="490">
        <v>2400</v>
      </c>
      <c r="C44" s="491" t="s">
        <v>15</v>
      </c>
      <c r="D44" s="492">
        <v>1920.5</v>
      </c>
      <c r="E44" s="493">
        <f t="shared" si="5"/>
        <v>5.2540865877846933E-2</v>
      </c>
      <c r="F44" s="439">
        <v>338</v>
      </c>
      <c r="G44" s="440">
        <f t="shared" si="6"/>
        <v>4.0605478135511776E-2</v>
      </c>
    </row>
    <row r="45" spans="2:7" x14ac:dyDescent="0.25">
      <c r="B45" s="490">
        <v>2500</v>
      </c>
      <c r="C45" s="491" t="s">
        <v>16</v>
      </c>
      <c r="D45" s="492">
        <v>93</v>
      </c>
      <c r="E45" s="493">
        <f t="shared" si="5"/>
        <v>2.5442856165788933E-3</v>
      </c>
      <c r="F45" s="439">
        <v>28</v>
      </c>
      <c r="G45" s="440">
        <f t="shared" si="6"/>
        <v>3.363767419509851E-3</v>
      </c>
    </row>
    <row r="46" spans="2:7" x14ac:dyDescent="0.25">
      <c r="B46" s="490">
        <v>2800</v>
      </c>
      <c r="C46" s="491" t="s">
        <v>19</v>
      </c>
      <c r="D46" s="492">
        <v>1035</v>
      </c>
      <c r="E46" s="493">
        <f t="shared" si="5"/>
        <v>2.8315436700636073E-2</v>
      </c>
      <c r="F46" s="439">
        <v>292</v>
      </c>
      <c r="G46" s="440">
        <f t="shared" si="6"/>
        <v>3.5079288803459875E-2</v>
      </c>
    </row>
    <row r="47" spans="2:7" x14ac:dyDescent="0.25">
      <c r="B47" s="490">
        <v>3100</v>
      </c>
      <c r="C47" s="864" t="s">
        <v>20</v>
      </c>
      <c r="D47" s="492">
        <v>14</v>
      </c>
      <c r="E47" s="493">
        <f t="shared" si="5"/>
        <v>3.8301073797961837E-4</v>
      </c>
      <c r="F47" s="439">
        <v>0</v>
      </c>
      <c r="G47" s="440">
        <f t="shared" si="6"/>
        <v>0</v>
      </c>
    </row>
    <row r="48" spans="2:7" x14ac:dyDescent="0.25">
      <c r="B48" s="490">
        <v>4100</v>
      </c>
      <c r="C48" s="491" t="s">
        <v>21</v>
      </c>
      <c r="D48" s="492">
        <v>355.5</v>
      </c>
      <c r="E48" s="493">
        <f t="shared" si="5"/>
        <v>9.7257369536967384E-3</v>
      </c>
      <c r="F48" s="439">
        <v>94</v>
      </c>
      <c r="G48" s="440">
        <f t="shared" si="6"/>
        <v>1.1292647765497358E-2</v>
      </c>
    </row>
    <row r="49" spans="2:7" ht="15.75" thickBot="1" x14ac:dyDescent="0.3">
      <c r="B49" s="495">
        <v>4300</v>
      </c>
      <c r="C49" s="496" t="s">
        <v>22</v>
      </c>
      <c r="D49" s="497">
        <v>220.5</v>
      </c>
      <c r="E49" s="498">
        <f t="shared" si="5"/>
        <v>6.0324191231789894E-3</v>
      </c>
      <c r="F49" s="499">
        <v>70</v>
      </c>
      <c r="G49" s="500">
        <f t="shared" si="6"/>
        <v>8.4094185487746283E-3</v>
      </c>
    </row>
    <row r="50" spans="2:7" ht="15.75" thickBot="1" x14ac:dyDescent="0.3">
      <c r="B50" s="1025" t="s">
        <v>118</v>
      </c>
      <c r="C50" s="1026"/>
      <c r="D50" s="503">
        <f>SUM(D33:D49)</f>
        <v>36552.5</v>
      </c>
      <c r="E50" s="504">
        <f>SUM(E33:E49)</f>
        <v>0.99999999999999989</v>
      </c>
      <c r="F50" s="505">
        <f>SUM(F33:F49)</f>
        <v>8324</v>
      </c>
      <c r="G50" s="506">
        <f>SUM(G33:G49)</f>
        <v>0.99999999999999989</v>
      </c>
    </row>
    <row r="51" spans="2:7" x14ac:dyDescent="0.25">
      <c r="B51" s="389"/>
    </row>
    <row r="52" spans="2:7" ht="15.75" thickBot="1" x14ac:dyDescent="0.3">
      <c r="B52" t="s">
        <v>278</v>
      </c>
    </row>
    <row r="53" spans="2:7" ht="15" customHeight="1" x14ac:dyDescent="0.25">
      <c r="B53" s="1017" t="s">
        <v>2</v>
      </c>
      <c r="C53" s="1019" t="s">
        <v>3</v>
      </c>
      <c r="D53" s="1027" t="s">
        <v>281</v>
      </c>
      <c r="E53" s="1013"/>
      <c r="F53" s="1011" t="s">
        <v>282</v>
      </c>
      <c r="G53" s="1012"/>
    </row>
    <row r="54" spans="2:7" ht="15.75" thickBot="1" x14ac:dyDescent="0.3">
      <c r="B54" s="1018"/>
      <c r="C54" s="1020"/>
      <c r="D54" s="478" t="s">
        <v>168</v>
      </c>
      <c r="E54" s="479" t="s">
        <v>134</v>
      </c>
      <c r="F54" s="480" t="s">
        <v>168</v>
      </c>
      <c r="G54" s="481" t="s">
        <v>134</v>
      </c>
    </row>
    <row r="55" spans="2:7" x14ac:dyDescent="0.25">
      <c r="B55" s="482">
        <v>1100</v>
      </c>
      <c r="C55" s="483" t="s">
        <v>4</v>
      </c>
      <c r="D55" s="484">
        <v>6755</v>
      </c>
      <c r="E55" s="485">
        <f t="shared" ref="E55:E71" si="7">D55/$D$72</f>
        <v>0.18486084124681865</v>
      </c>
      <c r="F55" s="486">
        <v>1165</v>
      </c>
      <c r="G55" s="487">
        <f t="shared" ref="G55:G71" si="8">F55/$F$72</f>
        <v>0.16840127204394334</v>
      </c>
    </row>
    <row r="56" spans="2:7" x14ac:dyDescent="0.25">
      <c r="B56" s="490">
        <v>1200</v>
      </c>
      <c r="C56" s="491" t="s">
        <v>5</v>
      </c>
      <c r="D56" s="492">
        <v>2316</v>
      </c>
      <c r="E56" s="493">
        <f t="shared" si="7"/>
        <v>6.3380859856052102E-2</v>
      </c>
      <c r="F56" s="439">
        <v>450</v>
      </c>
      <c r="G56" s="440">
        <f t="shared" si="8"/>
        <v>6.5047701647875114E-2</v>
      </c>
    </row>
    <row r="57" spans="2:7" x14ac:dyDescent="0.25">
      <c r="B57" s="490">
        <v>1300</v>
      </c>
      <c r="C57" s="491" t="s">
        <v>6</v>
      </c>
      <c r="D57" s="492">
        <v>2450.5</v>
      </c>
      <c r="E57" s="493">
        <f t="shared" si="7"/>
        <v>6.7061656769108677E-2</v>
      </c>
      <c r="F57" s="439">
        <v>322</v>
      </c>
      <c r="G57" s="440">
        <f t="shared" si="8"/>
        <v>4.6545244290257297E-2</v>
      </c>
    </row>
    <row r="58" spans="2:7" x14ac:dyDescent="0.25">
      <c r="B58" s="490">
        <v>1400</v>
      </c>
      <c r="C58" s="491" t="s">
        <v>7</v>
      </c>
      <c r="D58" s="492">
        <v>6176.5</v>
      </c>
      <c r="E58" s="493">
        <f t="shared" si="7"/>
        <v>0.16902930954270545</v>
      </c>
      <c r="F58" s="439">
        <v>1344</v>
      </c>
      <c r="G58" s="440">
        <f t="shared" si="8"/>
        <v>0.194275802254987</v>
      </c>
    </row>
    <row r="59" spans="2:7" x14ac:dyDescent="0.25">
      <c r="B59" s="490">
        <v>1500</v>
      </c>
      <c r="C59" s="491" t="s">
        <v>8</v>
      </c>
      <c r="D59" s="492">
        <v>7196.5</v>
      </c>
      <c r="E59" s="493">
        <f t="shared" si="7"/>
        <v>0.19694315973837606</v>
      </c>
      <c r="F59" s="439">
        <v>1335</v>
      </c>
      <c r="G59" s="440">
        <f t="shared" si="8"/>
        <v>0.19297484822202948</v>
      </c>
    </row>
    <row r="60" spans="2:7" x14ac:dyDescent="0.25">
      <c r="B60" s="490">
        <v>1700</v>
      </c>
      <c r="C60" s="491" t="s">
        <v>9</v>
      </c>
      <c r="D60" s="492">
        <v>2511.5</v>
      </c>
      <c r="E60" s="493">
        <f t="shared" si="7"/>
        <v>6.873101447688898E-2</v>
      </c>
      <c r="F60" s="439">
        <v>561</v>
      </c>
      <c r="G60" s="440">
        <f t="shared" si="8"/>
        <v>8.1092801387684307E-2</v>
      </c>
    </row>
    <row r="61" spans="2:7" x14ac:dyDescent="0.25">
      <c r="B61" s="490">
        <v>1800</v>
      </c>
      <c r="C61" s="491" t="s">
        <v>10</v>
      </c>
      <c r="D61" s="492">
        <v>2847</v>
      </c>
      <c r="E61" s="493">
        <f t="shared" si="7"/>
        <v>7.7912481869680639E-2</v>
      </c>
      <c r="F61" s="439">
        <v>513</v>
      </c>
      <c r="G61" s="440">
        <f t="shared" si="8"/>
        <v>7.415437987857762E-2</v>
      </c>
    </row>
    <row r="62" spans="2:7" x14ac:dyDescent="0.25">
      <c r="B62" s="490">
        <v>1900</v>
      </c>
      <c r="C62" s="491" t="s">
        <v>11</v>
      </c>
      <c r="D62" s="492">
        <v>419.5</v>
      </c>
      <c r="E62" s="493">
        <f t="shared" si="7"/>
        <v>1.1480255055964533E-2</v>
      </c>
      <c r="F62" s="439">
        <v>58</v>
      </c>
      <c r="G62" s="440">
        <f t="shared" si="8"/>
        <v>8.3839259901705692E-3</v>
      </c>
    </row>
    <row r="63" spans="2:7" x14ac:dyDescent="0.25">
      <c r="B63" s="490">
        <v>2100</v>
      </c>
      <c r="C63" s="491" t="s">
        <v>12</v>
      </c>
      <c r="D63" s="492">
        <v>127</v>
      </c>
      <c r="E63" s="493">
        <f t="shared" si="7"/>
        <v>3.4755480145589887E-3</v>
      </c>
      <c r="F63" s="439">
        <v>67</v>
      </c>
      <c r="G63" s="440">
        <f t="shared" si="8"/>
        <v>9.6848800231280723E-3</v>
      </c>
    </row>
    <row r="64" spans="2:7" x14ac:dyDescent="0.25">
      <c r="B64" s="490">
        <v>2200</v>
      </c>
      <c r="C64" s="491" t="s">
        <v>13</v>
      </c>
      <c r="D64" s="492">
        <v>0.5</v>
      </c>
      <c r="E64" s="493">
        <f t="shared" si="7"/>
        <v>1.3683259899838537E-5</v>
      </c>
      <c r="F64" s="439">
        <v>2</v>
      </c>
      <c r="G64" s="440">
        <f t="shared" si="8"/>
        <v>2.8910089621277829E-4</v>
      </c>
    </row>
    <row r="65" spans="2:7" x14ac:dyDescent="0.25">
      <c r="B65" s="490">
        <v>2300</v>
      </c>
      <c r="C65" s="491" t="s">
        <v>14</v>
      </c>
      <c r="D65" s="492">
        <v>2066</v>
      </c>
      <c r="E65" s="493">
        <f t="shared" si="7"/>
        <v>5.6539229906132839E-2</v>
      </c>
      <c r="F65" s="439">
        <v>332</v>
      </c>
      <c r="G65" s="440">
        <f t="shared" si="8"/>
        <v>4.7990748771321194E-2</v>
      </c>
    </row>
    <row r="66" spans="2:7" x14ac:dyDescent="0.25">
      <c r="B66" s="490">
        <v>2400</v>
      </c>
      <c r="C66" s="491" t="s">
        <v>15</v>
      </c>
      <c r="D66" s="492">
        <v>1933</v>
      </c>
      <c r="E66" s="493">
        <f t="shared" si="7"/>
        <v>5.2899482772775785E-2</v>
      </c>
      <c r="F66" s="439">
        <v>244</v>
      </c>
      <c r="G66" s="440">
        <f t="shared" si="8"/>
        <v>3.5270309337958945E-2</v>
      </c>
    </row>
    <row r="67" spans="2:7" x14ac:dyDescent="0.25">
      <c r="B67" s="490">
        <v>2500</v>
      </c>
      <c r="C67" s="491" t="s">
        <v>16</v>
      </c>
      <c r="D67" s="492">
        <v>74.5</v>
      </c>
      <c r="E67" s="493">
        <f t="shared" si="7"/>
        <v>2.0388057250759423E-3</v>
      </c>
      <c r="F67" s="439">
        <v>61</v>
      </c>
      <c r="G67" s="440">
        <f t="shared" si="8"/>
        <v>8.8175773344897363E-3</v>
      </c>
    </row>
    <row r="68" spans="2:7" x14ac:dyDescent="0.25">
      <c r="B68" s="490">
        <v>2800</v>
      </c>
      <c r="C68" s="491" t="s">
        <v>19</v>
      </c>
      <c r="D68" s="492">
        <v>1101.5</v>
      </c>
      <c r="E68" s="493">
        <f t="shared" si="7"/>
        <v>3.0144221559344299E-2</v>
      </c>
      <c r="F68" s="439">
        <v>309</v>
      </c>
      <c r="G68" s="440">
        <f t="shared" si="8"/>
        <v>4.4666088464874243E-2</v>
      </c>
    </row>
    <row r="69" spans="2:7" x14ac:dyDescent="0.25">
      <c r="B69" s="490">
        <v>3100</v>
      </c>
      <c r="C69" s="863" t="s">
        <v>20</v>
      </c>
      <c r="D69" s="492">
        <v>0</v>
      </c>
      <c r="E69" s="493">
        <f t="shared" si="7"/>
        <v>0</v>
      </c>
      <c r="F69" s="439">
        <v>0</v>
      </c>
      <c r="G69" s="440">
        <f t="shared" si="8"/>
        <v>0</v>
      </c>
    </row>
    <row r="70" spans="2:7" x14ac:dyDescent="0.25">
      <c r="B70" s="490">
        <v>4100</v>
      </c>
      <c r="C70" s="491" t="s">
        <v>21</v>
      </c>
      <c r="D70" s="492">
        <v>336</v>
      </c>
      <c r="E70" s="493">
        <f t="shared" si="7"/>
        <v>9.1951506526914972E-3</v>
      </c>
      <c r="F70" s="439">
        <v>96</v>
      </c>
      <c r="G70" s="440">
        <f t="shared" si="8"/>
        <v>1.3876843018213356E-2</v>
      </c>
    </row>
    <row r="71" spans="2:7" ht="15.75" thickBot="1" x14ac:dyDescent="0.3">
      <c r="B71" s="495">
        <v>4300</v>
      </c>
      <c r="C71" s="496" t="s">
        <v>22</v>
      </c>
      <c r="D71" s="497">
        <v>230</v>
      </c>
      <c r="E71" s="498">
        <f t="shared" si="7"/>
        <v>6.2942995539257271E-3</v>
      </c>
      <c r="F71" s="499">
        <v>59</v>
      </c>
      <c r="G71" s="500">
        <f t="shared" si="8"/>
        <v>8.5284764382769582E-3</v>
      </c>
    </row>
    <row r="72" spans="2:7" ht="15.75" thickBot="1" x14ac:dyDescent="0.3">
      <c r="B72" s="1025" t="s">
        <v>118</v>
      </c>
      <c r="C72" s="1026"/>
      <c r="D72" s="503">
        <f>SUM(D55:D71)</f>
        <v>36541</v>
      </c>
      <c r="E72" s="504">
        <f>SUM(E55:E71)</f>
        <v>1</v>
      </c>
      <c r="F72" s="505">
        <f>SUM(F55:F71)</f>
        <v>6918</v>
      </c>
      <c r="G72" s="506">
        <f>SUM(G55:G71)</f>
        <v>0.99999999999999989</v>
      </c>
    </row>
    <row r="73" spans="2:7" x14ac:dyDescent="0.25">
      <c r="B73" s="389"/>
    </row>
    <row r="74" spans="2:7" ht="15.75" thickBot="1" x14ac:dyDescent="0.3">
      <c r="B74" t="s">
        <v>261</v>
      </c>
    </row>
    <row r="75" spans="2:7" ht="15" customHeight="1" x14ac:dyDescent="0.25">
      <c r="B75" s="1017" t="s">
        <v>2</v>
      </c>
      <c r="C75" s="1019" t="s">
        <v>3</v>
      </c>
      <c r="D75" s="1027" t="s">
        <v>264</v>
      </c>
      <c r="E75" s="1013"/>
      <c r="F75" s="1011" t="s">
        <v>265</v>
      </c>
      <c r="G75" s="1012"/>
    </row>
    <row r="76" spans="2:7" ht="15.75" thickBot="1" x14ac:dyDescent="0.3">
      <c r="B76" s="1018"/>
      <c r="C76" s="1020"/>
      <c r="D76" s="478" t="s">
        <v>168</v>
      </c>
      <c r="E76" s="479" t="s">
        <v>134</v>
      </c>
      <c r="F76" s="480" t="s">
        <v>168</v>
      </c>
      <c r="G76" s="481" t="s">
        <v>134</v>
      </c>
    </row>
    <row r="77" spans="2:7" x14ac:dyDescent="0.25">
      <c r="B77" s="482">
        <v>1100</v>
      </c>
      <c r="C77" s="483" t="s">
        <v>4</v>
      </c>
      <c r="D77" s="484">
        <v>6532</v>
      </c>
      <c r="E77" s="485">
        <f>D77/$D$94</f>
        <v>0.1838213567096765</v>
      </c>
      <c r="F77" s="486">
        <v>1085</v>
      </c>
      <c r="G77" s="487">
        <f>F77/$F$94</f>
        <v>0.16323153302241614</v>
      </c>
    </row>
    <row r="78" spans="2:7" x14ac:dyDescent="0.25">
      <c r="B78" s="490">
        <v>1200</v>
      </c>
      <c r="C78" s="491" t="s">
        <v>5</v>
      </c>
      <c r="D78" s="492">
        <v>2240.5</v>
      </c>
      <c r="E78" s="493">
        <f t="shared" ref="E78:E93" si="9">D78/$D$94</f>
        <v>6.3051400751382464E-2</v>
      </c>
      <c r="F78" s="439">
        <v>519</v>
      </c>
      <c r="G78" s="440">
        <f t="shared" ref="G78:G93" si="10">F78/$F$94</f>
        <v>7.8080336994132693E-2</v>
      </c>
    </row>
    <row r="79" spans="2:7" x14ac:dyDescent="0.25">
      <c r="B79" s="490">
        <v>1300</v>
      </c>
      <c r="C79" s="491" t="s">
        <v>6</v>
      </c>
      <c r="D79" s="492">
        <v>2154</v>
      </c>
      <c r="E79" s="493">
        <f t="shared" si="9"/>
        <v>6.0617146716571223E-2</v>
      </c>
      <c r="F79" s="439">
        <v>324</v>
      </c>
      <c r="G79" s="440">
        <f t="shared" si="10"/>
        <v>4.8743794192868964E-2</v>
      </c>
    </row>
    <row r="80" spans="2:7" x14ac:dyDescent="0.25">
      <c r="B80" s="490">
        <v>1400</v>
      </c>
      <c r="C80" s="491" t="s">
        <v>7</v>
      </c>
      <c r="D80" s="492">
        <v>6034.5</v>
      </c>
      <c r="E80" s="493">
        <f t="shared" si="9"/>
        <v>0.1698208783013691</v>
      </c>
      <c r="F80" s="439">
        <v>1423</v>
      </c>
      <c r="G80" s="440">
        <f t="shared" si="10"/>
        <v>0.2140815405446066</v>
      </c>
    </row>
    <row r="81" spans="2:7" x14ac:dyDescent="0.25">
      <c r="B81" s="490">
        <v>1500</v>
      </c>
      <c r="C81" s="491" t="s">
        <v>8</v>
      </c>
      <c r="D81" s="492">
        <v>7236.5</v>
      </c>
      <c r="E81" s="493">
        <f t="shared" si="9"/>
        <v>0.20364715980244552</v>
      </c>
      <c r="F81" s="439">
        <v>1138</v>
      </c>
      <c r="G81" s="440">
        <f t="shared" si="10"/>
        <v>0.17120505491199037</v>
      </c>
    </row>
    <row r="82" spans="2:7" x14ac:dyDescent="0.25">
      <c r="B82" s="490">
        <v>1700</v>
      </c>
      <c r="C82" s="491" t="s">
        <v>9</v>
      </c>
      <c r="D82" s="492">
        <v>2419.5</v>
      </c>
      <c r="E82" s="493">
        <f t="shared" si="9"/>
        <v>6.8088758811858899E-2</v>
      </c>
      <c r="F82" s="439">
        <v>527</v>
      </c>
      <c r="G82" s="440">
        <f t="shared" si="10"/>
        <v>7.9283887468030695E-2</v>
      </c>
    </row>
    <row r="83" spans="2:7" x14ac:dyDescent="0.25">
      <c r="B83" s="490">
        <v>1800</v>
      </c>
      <c r="C83" s="491" t="s">
        <v>10</v>
      </c>
      <c r="D83" s="492">
        <v>2703</v>
      </c>
      <c r="E83" s="493">
        <f t="shared" si="9"/>
        <v>7.6066920879708455E-2</v>
      </c>
      <c r="F83" s="439">
        <v>494</v>
      </c>
      <c r="G83" s="440">
        <f t="shared" si="10"/>
        <v>7.4319241763201441E-2</v>
      </c>
    </row>
    <row r="84" spans="2:7" x14ac:dyDescent="0.25">
      <c r="B84" s="490">
        <v>1900</v>
      </c>
      <c r="C84" s="491" t="s">
        <v>11</v>
      </c>
      <c r="D84" s="492">
        <v>395</v>
      </c>
      <c r="E84" s="493">
        <f t="shared" si="9"/>
        <v>1.1115957731218956E-2</v>
      </c>
      <c r="F84" s="439">
        <v>51</v>
      </c>
      <c r="G84" s="440">
        <f t="shared" si="10"/>
        <v>7.6726342710997444E-3</v>
      </c>
    </row>
    <row r="85" spans="2:7" x14ac:dyDescent="0.25">
      <c r="B85" s="490">
        <v>2100</v>
      </c>
      <c r="C85" s="491" t="s">
        <v>12</v>
      </c>
      <c r="D85" s="492">
        <v>153.5</v>
      </c>
      <c r="E85" s="493">
        <f t="shared" si="9"/>
        <v>4.3197455993471134E-3</v>
      </c>
      <c r="F85" s="439">
        <v>56</v>
      </c>
      <c r="G85" s="440">
        <f t="shared" si="10"/>
        <v>8.4248533172859939E-3</v>
      </c>
    </row>
    <row r="86" spans="2:7" x14ac:dyDescent="0.25">
      <c r="B86" s="490">
        <v>2200</v>
      </c>
      <c r="C86" s="491" t="s">
        <v>13</v>
      </c>
      <c r="D86" s="492">
        <v>0.5</v>
      </c>
      <c r="E86" s="493">
        <f t="shared" si="9"/>
        <v>1.4070832571163236E-5</v>
      </c>
      <c r="F86" s="439">
        <v>4</v>
      </c>
      <c r="G86" s="440">
        <f t="shared" si="10"/>
        <v>6.0177523694899952E-4</v>
      </c>
    </row>
    <row r="87" spans="2:7" x14ac:dyDescent="0.25">
      <c r="B87" s="490">
        <v>2300</v>
      </c>
      <c r="C87" s="491" t="s">
        <v>14</v>
      </c>
      <c r="D87" s="492">
        <v>1947</v>
      </c>
      <c r="E87" s="493">
        <f t="shared" si="9"/>
        <v>5.4791822032109638E-2</v>
      </c>
      <c r="F87" s="439">
        <v>286</v>
      </c>
      <c r="G87" s="440">
        <f t="shared" si="10"/>
        <v>4.3026929441853469E-2</v>
      </c>
    </row>
    <row r="88" spans="2:7" x14ac:dyDescent="0.25">
      <c r="B88" s="490">
        <v>2400</v>
      </c>
      <c r="C88" s="491" t="s">
        <v>15</v>
      </c>
      <c r="D88" s="492">
        <v>1840</v>
      </c>
      <c r="E88" s="493">
        <f t="shared" si="9"/>
        <v>5.178066386188071E-2</v>
      </c>
      <c r="F88" s="439">
        <v>196</v>
      </c>
      <c r="G88" s="440">
        <f t="shared" si="10"/>
        <v>2.9486986610500979E-2</v>
      </c>
    </row>
    <row r="89" spans="2:7" x14ac:dyDescent="0.25">
      <c r="B89" s="490">
        <v>2500</v>
      </c>
      <c r="C89" s="491" t="s">
        <v>16</v>
      </c>
      <c r="D89" s="492">
        <v>111.5</v>
      </c>
      <c r="E89" s="493">
        <f t="shared" si="9"/>
        <v>3.1377956633694016E-3</v>
      </c>
      <c r="F89" s="439">
        <v>44</v>
      </c>
      <c r="G89" s="440">
        <f t="shared" si="10"/>
        <v>6.6195276064389954E-3</v>
      </c>
    </row>
    <row r="90" spans="2:7" x14ac:dyDescent="0.25">
      <c r="B90" s="490">
        <v>2800</v>
      </c>
      <c r="C90" s="491" t="s">
        <v>19</v>
      </c>
      <c r="D90" s="492">
        <v>1191</v>
      </c>
      <c r="E90" s="493">
        <f t="shared" si="9"/>
        <v>3.3516723184510828E-2</v>
      </c>
      <c r="F90" s="439">
        <v>322</v>
      </c>
      <c r="G90" s="440">
        <f t="shared" si="10"/>
        <v>4.8442906574394463E-2</v>
      </c>
    </row>
    <row r="91" spans="2:7" x14ac:dyDescent="0.25">
      <c r="B91" s="490">
        <v>3100</v>
      </c>
      <c r="C91" s="863" t="s">
        <v>20</v>
      </c>
      <c r="D91" s="492">
        <v>0</v>
      </c>
      <c r="E91" s="493">
        <f t="shared" si="9"/>
        <v>0</v>
      </c>
      <c r="F91" s="439">
        <v>0</v>
      </c>
      <c r="G91" s="440">
        <f t="shared" si="10"/>
        <v>0</v>
      </c>
    </row>
    <row r="92" spans="2:7" x14ac:dyDescent="0.25">
      <c r="B92" s="490">
        <v>4100</v>
      </c>
      <c r="C92" s="491" t="s">
        <v>21</v>
      </c>
      <c r="D92" s="492">
        <v>341.5</v>
      </c>
      <c r="E92" s="493">
        <f t="shared" si="9"/>
        <v>9.6103786461044904E-3</v>
      </c>
      <c r="F92" s="439">
        <v>110</v>
      </c>
      <c r="G92" s="440">
        <f t="shared" si="10"/>
        <v>1.6548819016097487E-2</v>
      </c>
    </row>
    <row r="93" spans="2:7" ht="15.75" thickBot="1" x14ac:dyDescent="0.3">
      <c r="B93" s="495">
        <v>4300</v>
      </c>
      <c r="C93" s="496" t="s">
        <v>22</v>
      </c>
      <c r="D93" s="497">
        <v>234.5</v>
      </c>
      <c r="E93" s="498">
        <f t="shared" si="9"/>
        <v>6.599220475875558E-3</v>
      </c>
      <c r="F93" s="499">
        <v>68</v>
      </c>
      <c r="G93" s="500">
        <f t="shared" si="10"/>
        <v>1.0230179028132993E-2</v>
      </c>
    </row>
    <row r="94" spans="2:7" ht="15.75" thickBot="1" x14ac:dyDescent="0.3">
      <c r="B94" s="1025" t="s">
        <v>118</v>
      </c>
      <c r="C94" s="1026"/>
      <c r="D94" s="503">
        <f>SUM(D77:D93)</f>
        <v>35534.5</v>
      </c>
      <c r="E94" s="504">
        <f>SUM(E77:E93)</f>
        <v>1</v>
      </c>
      <c r="F94" s="505">
        <f>SUM(F77:F93)</f>
        <v>6647</v>
      </c>
      <c r="G94" s="506">
        <f>SUM(G77:G93)</f>
        <v>1.0000000000000002</v>
      </c>
    </row>
    <row r="96" spans="2:7" x14ac:dyDescent="0.25">
      <c r="B96" s="609" t="s">
        <v>252</v>
      </c>
    </row>
  </sheetData>
  <mergeCells count="23">
    <mergeCell ref="B94:C94"/>
    <mergeCell ref="B50:C50"/>
    <mergeCell ref="B53:B54"/>
    <mergeCell ref="C53:C54"/>
    <mergeCell ref="D53:E53"/>
    <mergeCell ref="B72:C72"/>
    <mergeCell ref="B75:B76"/>
    <mergeCell ref="C75:C76"/>
    <mergeCell ref="D75:E75"/>
    <mergeCell ref="F75:G75"/>
    <mergeCell ref="H8:I8"/>
    <mergeCell ref="D7:E7"/>
    <mergeCell ref="F7:G7"/>
    <mergeCell ref="B8:B9"/>
    <mergeCell ref="C8:C9"/>
    <mergeCell ref="D8:E8"/>
    <mergeCell ref="F8:G8"/>
    <mergeCell ref="F53:G53"/>
    <mergeCell ref="B27:C27"/>
    <mergeCell ref="B31:B32"/>
    <mergeCell ref="C31:C32"/>
    <mergeCell ref="D31:E31"/>
    <mergeCell ref="F31:G31"/>
  </mergeCells>
  <hyperlinks>
    <hyperlink ref="B96" location="'0 Seznam'!A1" display="Seznam" xr:uid="{E9AA49F5-67C0-44F5-B9C3-9FC944F89761}"/>
  </hyperlinks>
  <pageMargins left="0.70866141732283472" right="0.70866141732283472" top="0.78740157480314965" bottom="0.78740157480314965" header="0.31496062992125984" footer="0.31496062992125984"/>
  <pageSetup paperSize="8" scale="73" orientation="landscape" r:id="rId1"/>
  <headerFooter>
    <oddHeader xml:space="preserve">&amp;LČ. j.:999/2024-1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18</vt:i4>
      </vt:variant>
    </vt:vector>
  </HeadingPairs>
  <TitlesOfParts>
    <vt:vector size="18" baseType="lpstr">
      <vt:lpstr>0 Seznam</vt:lpstr>
      <vt:lpstr>1 Bilance</vt:lpstr>
      <vt:lpstr>2a Výkonová část segment 1</vt:lpstr>
      <vt:lpstr>2b Výkonová část segment 2</vt:lpstr>
      <vt:lpstr>2c Výkonová část segment 3</vt:lpstr>
      <vt:lpstr>2d Výkonová část segment 4</vt:lpstr>
      <vt:lpstr>3a Ukazatel P - lékařské fakult</vt:lpstr>
      <vt:lpstr>3b Ukazatel P - Pedagog. fak.</vt:lpstr>
      <vt:lpstr>3c Ukazatel P - pedagogické SP</vt:lpstr>
      <vt:lpstr>3d Ukazatel P - deficitní aprob</vt:lpstr>
      <vt:lpstr>4 RO I</vt:lpstr>
      <vt:lpstr>5 Ukazatel C</vt:lpstr>
      <vt:lpstr>6 Ukazatel J</vt:lpstr>
      <vt:lpstr>7 Ukazatel U</vt:lpstr>
      <vt:lpstr>8 Ukazatel I</vt:lpstr>
      <vt:lpstr>9 Fond umělecké činnosti</vt:lpstr>
      <vt:lpstr>10a Ukazatel F - U3V</vt:lpstr>
      <vt:lpstr>10b Ukazatel F - SSP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Ludvík Jiří</dc:creator>
  <cp:lastModifiedBy>Valášek Petr</cp:lastModifiedBy>
  <cp:lastPrinted>2024-01-24T12:42:55Z</cp:lastPrinted>
  <dcterms:created xsi:type="dcterms:W3CDTF">2018-12-11T07:31:06Z</dcterms:created>
  <dcterms:modified xsi:type="dcterms:W3CDTF">2024-01-31T13:16:46Z</dcterms:modified>
</cp:coreProperties>
</file>