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2_Hrdinová\Krajské normativy 2024\Materiál 2024\"/>
    </mc:Choice>
  </mc:AlternateContent>
  <xr:revisionPtr revIDLastSave="0" documentId="13_ncr:1_{C124EA8B-91F2-47F9-B6C1-E3E647D6A41D}" xr6:coauthVersionLast="47" xr6:coauthVersionMax="47" xr10:uidLastSave="{00000000-0000-0000-0000-000000000000}"/>
  <bookViews>
    <workbookView xWindow="-120" yWindow="-120" windowWidth="19320" windowHeight="8580" xr2:uid="{00000000-000D-0000-FFFF-FFFF00000000}"/>
  </bookViews>
  <sheets>
    <sheet name="titul" sheetId="7" r:id="rId1"/>
    <sheet name="DD 2024" sheetId="4" r:id="rId2"/>
    <sheet name="DD se školou 2024" sheetId="6" r:id="rId3"/>
  </sheets>
  <definedNames>
    <definedName name="_xlnm.Print_Titles" localSheetId="1">'DD 2024'!$1:$6</definedName>
    <definedName name="_xlnm.Print_Titles" localSheetId="2">'DD se školou 2024'!$1:$6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7" i="4" l="1"/>
  <c r="AC15" i="4"/>
  <c r="AC16" i="4"/>
  <c r="AC9" i="4"/>
  <c r="AC10" i="4"/>
  <c r="AC11" i="4"/>
  <c r="AC12" i="4"/>
  <c r="AC13" i="4"/>
  <c r="AC14" i="4"/>
  <c r="AC8" i="4"/>
  <c r="O14" i="4"/>
  <c r="N14" i="4"/>
  <c r="M14" i="4"/>
  <c r="L14" i="4"/>
  <c r="K14" i="4"/>
  <c r="D10" i="4" l="1"/>
  <c r="Z11" i="4" l="1"/>
  <c r="L10" i="6" l="1"/>
  <c r="L13" i="4" l="1"/>
  <c r="M13" i="4"/>
  <c r="N13" i="4"/>
  <c r="O13" i="4"/>
  <c r="K13" i="4"/>
  <c r="O16" i="4"/>
  <c r="N16" i="4"/>
  <c r="M16" i="4"/>
  <c r="L16" i="4"/>
  <c r="K16" i="4"/>
  <c r="K11" i="4" l="1"/>
  <c r="G10" i="6" l="1"/>
  <c r="D11" i="4" l="1"/>
  <c r="F12" i="4"/>
  <c r="F11" i="4"/>
  <c r="C8" i="4" l="1"/>
  <c r="B8" i="4"/>
  <c r="B9" i="4"/>
  <c r="C9" i="4"/>
  <c r="C10" i="4"/>
  <c r="E11" i="4"/>
  <c r="D12" i="4"/>
  <c r="U10" i="4"/>
  <c r="B10" i="4"/>
  <c r="B11" i="4"/>
  <c r="B12" i="4"/>
  <c r="A1" i="6"/>
  <c r="G11" i="6" l="1"/>
  <c r="G12" i="6"/>
  <c r="H12" i="4"/>
  <c r="I12" i="4"/>
  <c r="J12" i="4"/>
  <c r="H11" i="4"/>
  <c r="I11" i="4"/>
  <c r="J11" i="4"/>
  <c r="G9" i="6" l="1"/>
  <c r="I9" i="4"/>
  <c r="I10" i="4" s="1"/>
  <c r="H9" i="4"/>
  <c r="H10" i="4" s="1"/>
  <c r="J9" i="4"/>
  <c r="J10" i="4" s="1"/>
  <c r="G8" i="6" l="1"/>
  <c r="J8" i="4"/>
  <c r="I8" i="4"/>
  <c r="H8" i="4"/>
  <c r="AB12" i="4" l="1"/>
  <c r="Z12" i="4"/>
  <c r="AB11" i="4"/>
  <c r="Y12" i="4"/>
  <c r="Y11" i="4"/>
  <c r="AA11" i="4"/>
  <c r="AA12" i="4"/>
  <c r="AA9" i="4" l="1"/>
  <c r="AB9" i="4"/>
  <c r="AB10" i="4" s="1"/>
  <c r="Y9" i="4"/>
  <c r="Y10" i="4" s="1"/>
  <c r="Z9" i="4"/>
  <c r="Z10" i="4" s="1"/>
  <c r="AA10" i="4" l="1"/>
  <c r="AA8" i="4" s="1"/>
  <c r="AB8" i="4"/>
  <c r="Y8" i="4"/>
  <c r="Z8" i="4"/>
  <c r="W12" i="4" l="1"/>
  <c r="W11" i="4"/>
  <c r="X11" i="4"/>
  <c r="X12" i="4"/>
  <c r="X9" i="4" l="1"/>
  <c r="W9" i="4"/>
  <c r="X10" i="4" l="1"/>
  <c r="X8" i="4" s="1"/>
  <c r="W10" i="4"/>
  <c r="W8" i="4" s="1"/>
  <c r="Q12" i="4"/>
  <c r="Q11" i="4"/>
  <c r="Q9" i="4" l="1"/>
  <c r="Q10" i="4" s="1"/>
  <c r="L11" i="4"/>
  <c r="M11" i="4"/>
  <c r="N11" i="4"/>
  <c r="O11" i="4"/>
  <c r="K12" i="4"/>
  <c r="K9" i="4" s="1"/>
  <c r="L12" i="4"/>
  <c r="M12" i="4"/>
  <c r="N12" i="4"/>
  <c r="O12" i="4"/>
  <c r="K10" i="4" l="1"/>
  <c r="K8" i="4"/>
  <c r="Q8" i="4"/>
  <c r="O9" i="4"/>
  <c r="M9" i="4"/>
  <c r="M10" i="4" s="1"/>
  <c r="L9" i="4"/>
  <c r="L10" i="4" s="1"/>
  <c r="N9" i="4"/>
  <c r="N10" i="4" s="1"/>
  <c r="C12" i="4"/>
  <c r="O10" i="4" l="1"/>
  <c r="O8" i="4" s="1"/>
  <c r="M8" i="4"/>
  <c r="N12" i="6" l="1"/>
  <c r="L12" i="6"/>
  <c r="N11" i="6"/>
  <c r="L11" i="6"/>
  <c r="N10" i="6" l="1"/>
  <c r="L9" i="6"/>
  <c r="L8" i="6" l="1"/>
  <c r="C11" i="4" l="1"/>
  <c r="G11" i="4"/>
  <c r="P11" i="4"/>
  <c r="R11" i="4"/>
  <c r="S11" i="4"/>
  <c r="T11" i="4"/>
  <c r="U11" i="4"/>
  <c r="V11" i="4"/>
  <c r="E12" i="4"/>
  <c r="E9" i="4" s="1"/>
  <c r="G12" i="4"/>
  <c r="P12" i="4"/>
  <c r="R12" i="4"/>
  <c r="S12" i="4"/>
  <c r="T12" i="4"/>
  <c r="U12" i="4"/>
  <c r="V12" i="4"/>
  <c r="S9" i="4" l="1"/>
  <c r="R9" i="4"/>
  <c r="T9" i="4"/>
  <c r="D9" i="4"/>
  <c r="P9" i="4"/>
  <c r="G9" i="4"/>
  <c r="G10" i="4" s="1"/>
  <c r="V9" i="4"/>
  <c r="F9" i="4"/>
  <c r="F10" i="4" s="1"/>
  <c r="U9" i="4"/>
  <c r="E10" i="4"/>
  <c r="E8" i="4" s="1"/>
  <c r="V10" i="4" l="1"/>
  <c r="V8" i="4" s="1"/>
  <c r="T10" i="4"/>
  <c r="T8" i="4" s="1"/>
  <c r="S10" i="4"/>
  <c r="S8" i="4" s="1"/>
  <c r="R10" i="4"/>
  <c r="R8" i="4" s="1"/>
  <c r="P10" i="4"/>
  <c r="P8" i="4" s="1"/>
  <c r="D8" i="4"/>
  <c r="U8" i="4"/>
  <c r="F8" i="4"/>
  <c r="G8" i="4"/>
  <c r="N8" i="4" l="1"/>
  <c r="L8" i="4"/>
</calcChain>
</file>

<file path=xl/sharedStrings.xml><?xml version="1.0" encoding="utf-8"?>
<sst xmlns="http://schemas.openxmlformats.org/spreadsheetml/2006/main" count="237" uniqueCount="59">
  <si>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</si>
  <si>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</si>
  <si>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</si>
  <si>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</si>
  <si>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</si>
  <si>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</si>
  <si>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</si>
  <si>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</si>
  <si>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</si>
  <si>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</si>
  <si>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</si>
  <si>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</si>
  <si>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</si>
  <si>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</si>
  <si>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</si>
  <si>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</si>
  <si>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</si>
  <si>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</si>
  <si>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</si>
  <si>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</si>
  <si>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</si>
  <si>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</si>
  <si>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</si>
  <si>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</si>
  <si>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</si>
  <si>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</si>
  <si>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</si>
  <si>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</si>
  <si>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</si>
  <si>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</si>
  <si>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</si>
  <si>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</si>
  <si>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</si>
  <si>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</si>
  <si>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</si>
  <si>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</si>
  <si>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Dětský domov DD - rodinná skupina (v Kč/rodinnou skupinu)</t>
  </si>
  <si>
    <t>MP bez odv.</t>
  </si>
  <si>
    <t>MPP bez odv.</t>
  </si>
  <si>
    <t>MPN bez odv.</t>
  </si>
  <si>
    <t>počet rodinných skupin</t>
  </si>
  <si>
    <t>Dětský domov se školou - rodinná skupina (v Kč/rodinnou skupinu)</t>
  </si>
  <si>
    <t>Porovnání krajských normativů mzdových prostředků a ostatních neinvestičních výdajů</t>
  </si>
  <si>
    <t>DĚTSKÉ DOMOVY</t>
  </si>
  <si>
    <t>5 a 6</t>
  </si>
  <si>
    <t>DĚTSKÉ DOMOVY SE ŠKOLOU</t>
  </si>
  <si>
    <t>Rodinné skupiny dětských domovů/dětských domovů se školou</t>
  </si>
  <si>
    <t>počet normativů
v daném kraji celkem</t>
  </si>
  <si>
    <t>3 a více</t>
  </si>
  <si>
    <t>CZ043</t>
  </si>
  <si>
    <t>CZ044</t>
  </si>
  <si>
    <t>CZ045</t>
  </si>
  <si>
    <t>do 3</t>
  </si>
  <si>
    <t>6 a více</t>
  </si>
  <si>
    <t>Příloha č. 8</t>
  </si>
  <si>
    <t>Krajské normativy v roce 2024</t>
  </si>
  <si>
    <t>stanovených jednotlivými krajskými úřady pro krajské a obecní školství v roce 2024</t>
  </si>
  <si>
    <t>Průměr ČR</t>
  </si>
  <si>
    <t>Č.j.: MSMT-15793/2024-1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</si>
</sst>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0"/>
    <numFmt numFmtId="165" formatCode="_-* #,##0.00\ _K_č_-;\-* #,##0.00\ _K_č_-;_-* &quot;-&quot;??\ _K_č_-;_-@_-"/>
    <numFmt numFmtId="166" formatCode="_-* #,##0_-;\-* #,##0_-;_-* &quot;-&quot;??_-;_-@_-"/>
    <numFmt numFmtId="167" formatCode="0.0000"/>
  </numFmts>
  <fonts count="2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.5"/>
      <name val="Tahoma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0"/>
      <color theme="1"/>
      <name val="Arial CE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4" fillId="0" borderId="0"/>
    <xf numFmtId="0" fontId="16" fillId="0" borderId="0"/>
    <xf numFmtId="165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0" fontId="19" fillId="0" borderId="0"/>
  </cellStyleXfs>
  <cellXfs count="7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  <xf numFmtId="3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 wrapText="1"/>
    </xf>
    <xf numFmtId="1" fontId="11" fillId="0" borderId="6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textRotation="90" wrapText="1"/>
    </xf>
    <xf numFmtId="0" fontId="12" fillId="14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 wrapText="1"/>
    </xf>
    <xf numFmtId="3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6" fontId="17" fillId="0" borderId="0" xfId="5" applyNumberFormat="1" applyFont="1" applyBorder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49" fontId="18" fillId="0" borderId="0" xfId="6" applyNumberFormat="1" applyFont="1" applyAlignment="1">
      <alignment horizontal="center"/>
    </xf>
    <xf numFmtId="0" fontId="18" fillId="0" borderId="0" xfId="6" applyFont="1" applyAlignment="1">
      <alignment horizontal="center" wrapText="1"/>
    </xf>
    <xf numFmtId="49" fontId="15" fillId="0" borderId="0" xfId="6" applyNumberFormat="1" applyFont="1" applyAlignment="1">
      <alignment horizontal="center" wrapText="1"/>
    </xf>
    <xf numFmtId="0" fontId="15" fillId="0" borderId="0" xfId="6" applyFont="1" applyAlignment="1">
      <alignment horizontal="center" wrapText="1"/>
    </xf>
    <xf numFmtId="3" fontId="20" fillId="0" borderId="0" xfId="7" applyNumberFormat="1" applyFont="1" applyAlignment="1">
      <alignment horizontal="center"/>
    </xf>
    <xf numFmtId="2" fontId="15" fillId="0" borderId="0" xfId="6" applyNumberFormat="1" applyFont="1" applyAlignment="1">
      <alignment horizontal="center"/>
    </xf>
    <xf numFmtId="3" fontId="15" fillId="0" borderId="0" xfId="6" applyNumberFormat="1" applyFont="1" applyAlignment="1">
      <alignment horizontal="center"/>
    </xf>
    <xf numFmtId="3" fontId="21" fillId="0" borderId="0" xfId="6" applyNumberFormat="1" applyFont="1" applyAlignment="1">
      <alignment horizontal="center"/>
    </xf>
    <xf numFmtId="3" fontId="22" fillId="0" borderId="0" xfId="6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</cellXfs>
  <cellStyles count="8">
    <cellStyle name="Čárka" xfId="5" builtinId="3"/>
    <cellStyle name="Čárka 2" xfId="3" xr:uid="{32CD7BBC-2C49-4BC9-A64A-CF4E6AEFA550}"/>
    <cellStyle name="Normální" xfId="0" builtinId="0"/>
    <cellStyle name="Normální 2" xfId="1" xr:uid="{8B56075D-4859-4B21-878C-1F0A389C2841}"/>
    <cellStyle name="Normální 2 2" xfId="4" xr:uid="{94437965-C2FC-4F96-8548-8D64FD2EB30B}"/>
    <cellStyle name="Normální 3" xfId="2" xr:uid="{3ABD8EF2-12A2-46C0-8CF0-FBAEF83844D6}"/>
    <cellStyle name="normální_prevod_souhrn" xfId="7" xr:uid="{0D1F5796-307D-4AED-9A0C-610A79D609A9}"/>
    <cellStyle name="normální_Třídění oborů" xfId="6" xr:uid="{360B6173-8143-4A54-85BD-ADF2C82FF694}"/>
  </cellStyles>
  <dxfs count="0"/>
  <tableStyles count="0" defaultTableStyle="TableStyleMedium9" defaultPivotStyle="PivotStyleLight16"/>
  <colors>
    <mruColors>
      <color rgb="FFCCFFCC"/>
      <color rgb="FF99FF9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F0163-5DA6-434F-BB01-418504AE25C0}">
  <sheetPr>
    <tabColor theme="8" tint="-0.249977111117893"/>
  </sheetPr>
  <dimension ref="A2:A46"/>
  <sheetViews>
    <sheetView tabSelected="1" zoomScale="80" zoomScaleNormal="80" workbookViewId="0">
      <selection activeCell="A12" sqref="A12"/>
    </sheetView>
  </sheetViews>
  <sheetFormatPr defaultRowHeight="15" x14ac:dyDescent="0.25"/>
  <cols>
    <col min="1" max="1" width="83.85546875" style="26" customWidth="1"/>
  </cols>
  <sheetData>
    <row r="2" spans="1:1" x14ac:dyDescent="0.25">
      <c r="A2" s="62" t="s">
        <v>58</v>
      </c>
    </row>
    <row r="15" spans="1:1" ht="36" x14ac:dyDescent="0.25">
      <c r="A15" s="27" t="s">
        <v>43</v>
      </c>
    </row>
    <row r="16" spans="1:1" ht="36" x14ac:dyDescent="0.25">
      <c r="A16" s="27" t="s">
        <v>45</v>
      </c>
    </row>
    <row r="19" spans="1:1" ht="18.75" x14ac:dyDescent="0.3">
      <c r="A19" s="24" t="s">
        <v>46</v>
      </c>
    </row>
    <row r="21" spans="1:1" ht="18.75" x14ac:dyDescent="0.3">
      <c r="A21" s="24" t="s">
        <v>54</v>
      </c>
    </row>
    <row r="45" spans="1:1" x14ac:dyDescent="0.25">
      <c r="A45" s="25" t="s">
        <v>42</v>
      </c>
    </row>
    <row r="46" spans="1:1" x14ac:dyDescent="0.25">
      <c r="A46" s="26" t="s">
        <v>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BB22"/>
  <sheetViews>
    <sheetView topLeftCell="A12" workbookViewId="0">
      <selection activeCell="AC17" sqref="AC17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10" width="8.5703125" style="17" customWidth="1"/>
    <col min="11" max="17" width="9.28515625" style="17" customWidth="1"/>
    <col min="18" max="18" width="8.7109375" style="17" customWidth="1"/>
    <col min="19" max="19" width="8.85546875" style="17" customWidth="1"/>
    <col min="20" max="20" width="8.7109375" style="17" customWidth="1"/>
    <col min="21" max="28" width="8.5703125" style="17" customWidth="1"/>
    <col min="29" max="30" width="9.140625" style="17"/>
    <col min="31" max="31" width="9" style="17" customWidth="1"/>
    <col min="32" max="32" width="14.5703125" style="17" customWidth="1"/>
    <col min="33" max="45" width="6" style="17" customWidth="1"/>
    <col min="46" max="16384" width="9.140625" style="17"/>
  </cols>
  <sheetData>
    <row r="1" spans="1:54" ht="18.75" x14ac:dyDescent="0.25">
      <c r="A1" s="64" t="s">
        <v>55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</row>
    <row r="2" spans="1:54" ht="18.75" x14ac:dyDescent="0.25">
      <c r="A2" s="64" t="s">
        <v>36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</row>
    <row r="3" spans="1:54" ht="15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54" ht="15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54" s="15" customFormat="1" ht="15" customHeight="1" x14ac:dyDescent="0.25">
      <c r="A5" s="65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6" t="s">
        <v>49</v>
      </c>
      <c r="I5" s="6" t="s">
        <v>50</v>
      </c>
      <c r="J5" s="6" t="s">
        <v>51</v>
      </c>
      <c r="K5" s="7" t="s">
        <v>10</v>
      </c>
      <c r="L5" s="7" t="s">
        <v>10</v>
      </c>
      <c r="M5" s="7" t="s">
        <v>10</v>
      </c>
      <c r="N5" s="7" t="s">
        <v>10</v>
      </c>
      <c r="O5" s="7" t="s">
        <v>10</v>
      </c>
      <c r="P5" s="8" t="s">
        <v>11</v>
      </c>
      <c r="Q5" s="8" t="s">
        <v>11</v>
      </c>
      <c r="R5" s="9" t="s">
        <v>12</v>
      </c>
      <c r="S5" s="10" t="s">
        <v>13</v>
      </c>
      <c r="T5" s="11" t="s">
        <v>14</v>
      </c>
      <c r="U5" s="12" t="s">
        <v>15</v>
      </c>
      <c r="V5" s="13" t="s">
        <v>16</v>
      </c>
      <c r="W5" s="13" t="s">
        <v>16</v>
      </c>
      <c r="X5" s="13" t="s">
        <v>16</v>
      </c>
      <c r="Y5" s="14" t="s">
        <v>17</v>
      </c>
      <c r="Z5" s="14" t="s">
        <v>17</v>
      </c>
      <c r="AA5" s="14" t="s">
        <v>17</v>
      </c>
      <c r="AB5" s="14" t="s">
        <v>17</v>
      </c>
      <c r="AC5" s="63" t="s">
        <v>57</v>
      </c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</row>
    <row r="6" spans="1:54" s="15" customFormat="1" ht="71.25" customHeight="1" x14ac:dyDescent="0.25">
      <c r="A6" s="65"/>
      <c r="B6" s="33" t="s">
        <v>18</v>
      </c>
      <c r="C6" s="33" t="s">
        <v>19</v>
      </c>
      <c r="D6" s="33" t="s">
        <v>2</v>
      </c>
      <c r="E6" s="33" t="s">
        <v>3</v>
      </c>
      <c r="F6" s="33" t="s">
        <v>20</v>
      </c>
      <c r="G6" s="33" t="s">
        <v>21</v>
      </c>
      <c r="H6" s="33" t="s">
        <v>21</v>
      </c>
      <c r="I6" s="33" t="s">
        <v>21</v>
      </c>
      <c r="J6" s="33" t="s">
        <v>21</v>
      </c>
      <c r="K6" s="33" t="s">
        <v>22</v>
      </c>
      <c r="L6" s="33" t="s">
        <v>22</v>
      </c>
      <c r="M6" s="33" t="s">
        <v>22</v>
      </c>
      <c r="N6" s="33" t="s">
        <v>22</v>
      </c>
      <c r="O6" s="33" t="s">
        <v>22</v>
      </c>
      <c r="P6" s="33" t="s">
        <v>29</v>
      </c>
      <c r="Q6" s="33" t="s">
        <v>29</v>
      </c>
      <c r="R6" s="33" t="s">
        <v>23</v>
      </c>
      <c r="S6" s="33" t="s">
        <v>24</v>
      </c>
      <c r="T6" s="33" t="s">
        <v>25</v>
      </c>
      <c r="U6" s="33" t="s">
        <v>26</v>
      </c>
      <c r="V6" s="33" t="s">
        <v>27</v>
      </c>
      <c r="W6" s="33" t="s">
        <v>27</v>
      </c>
      <c r="X6" s="33" t="s">
        <v>27</v>
      </c>
      <c r="Y6" s="33" t="s">
        <v>30</v>
      </c>
      <c r="Z6" s="33" t="s">
        <v>30</v>
      </c>
      <c r="AA6" s="33" t="s">
        <v>30</v>
      </c>
      <c r="AB6" s="33" t="s">
        <v>30</v>
      </c>
      <c r="AC6" s="63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</row>
    <row r="7" spans="1:54" s="15" customFormat="1" ht="47.25" customHeight="1" x14ac:dyDescent="0.25">
      <c r="A7" s="23" t="s">
        <v>40</v>
      </c>
      <c r="B7" s="28"/>
      <c r="C7" s="28"/>
      <c r="D7" s="28"/>
      <c r="E7" s="28"/>
      <c r="F7" s="28"/>
      <c r="G7" s="36" t="s">
        <v>52</v>
      </c>
      <c r="H7" s="36">
        <v>4</v>
      </c>
      <c r="I7" s="36">
        <v>5</v>
      </c>
      <c r="J7" s="36" t="s">
        <v>53</v>
      </c>
      <c r="K7" s="37">
        <v>2</v>
      </c>
      <c r="L7" s="37">
        <v>3</v>
      </c>
      <c r="M7" s="37">
        <v>4</v>
      </c>
      <c r="N7" s="37">
        <v>5</v>
      </c>
      <c r="O7" s="37">
        <v>6</v>
      </c>
      <c r="P7" s="38">
        <v>2</v>
      </c>
      <c r="Q7" s="38" t="s">
        <v>48</v>
      </c>
      <c r="R7" s="39"/>
      <c r="S7" s="39"/>
      <c r="T7" s="39"/>
      <c r="U7" s="39"/>
      <c r="V7" s="40">
        <v>2</v>
      </c>
      <c r="W7" s="40">
        <v>3</v>
      </c>
      <c r="X7" s="40">
        <v>4</v>
      </c>
      <c r="Y7" s="41">
        <v>3</v>
      </c>
      <c r="Z7" s="41">
        <v>4</v>
      </c>
      <c r="AA7" s="41" t="s">
        <v>44</v>
      </c>
      <c r="AB7" s="41">
        <v>7</v>
      </c>
      <c r="AC7" s="63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</row>
    <row r="8" spans="1:54" x14ac:dyDescent="0.25">
      <c r="A8" s="16" t="s">
        <v>1</v>
      </c>
      <c r="B8" s="43">
        <f>SUM(B9:B10)+B13</f>
        <v>3568021.9846153846</v>
      </c>
      <c r="C8" s="43">
        <f>IFERROR((SUM(C9:C10)+C13),"x")</f>
        <v>4051445.8479999998</v>
      </c>
      <c r="D8" s="47">
        <f>IFERROR((SUM(D9:D10)+D13),"x")</f>
        <v>3437665.2</v>
      </c>
      <c r="E8" s="47">
        <f>IFERROR((SUM(E9:E10)+E13),"x")</f>
        <v>3856454.0754208751</v>
      </c>
      <c r="F8" s="47">
        <f t="shared" ref="F8" si="0">IFERROR((SUM(F9:F10)+F13),"x")</f>
        <v>3773945.3679999993</v>
      </c>
      <c r="G8" s="47">
        <f t="shared" ref="G8:J8" si="1">IFERROR((SUM(G9:G10)+G13),"x")</f>
        <v>3684764.661200868</v>
      </c>
      <c r="H8" s="43">
        <f t="shared" si="1"/>
        <v>3533337.457313918</v>
      </c>
      <c r="I8" s="47">
        <f t="shared" si="1"/>
        <v>3425649.7930029146</v>
      </c>
      <c r="J8" s="47">
        <f t="shared" si="1"/>
        <v>3337701.3245059289</v>
      </c>
      <c r="K8" s="47">
        <f>IFERROR((SUM(K9:K10)+K13),"x")</f>
        <v>3926538.1347929393</v>
      </c>
      <c r="L8" s="47">
        <f t="shared" ref="L8:N8" si="2">IFERROR((SUM(L9:L10)+L13),"x")</f>
        <v>3621564.2990808655</v>
      </c>
      <c r="M8" s="47">
        <f t="shared" si="2"/>
        <v>4002781.5937209567</v>
      </c>
      <c r="N8" s="47">
        <f t="shared" si="2"/>
        <v>3831233.8111329153</v>
      </c>
      <c r="O8" s="47">
        <f>IFERROR((SUM(O9:O10)+O13),"x")</f>
        <v>3621564.2990808655</v>
      </c>
      <c r="P8" s="47">
        <f t="shared" ref="P8" si="3">IFERROR((SUM(P9:P10)+P13),"x")</f>
        <v>4365817.8452809732</v>
      </c>
      <c r="Q8" s="47">
        <f>IFERROR((SUM(Q9:Q10)+Q13),"x")</f>
        <v>3640058.6726756403</v>
      </c>
      <c r="R8" s="47">
        <f t="shared" ref="R8" si="4">IFERROR((SUM(R9:R10)+R13),"x")</f>
        <v>3435552.7391735539</v>
      </c>
      <c r="S8" s="47">
        <f t="shared" ref="S8" si="5">IFERROR((SUM(S9:S10)+S13),"x")</f>
        <v>3736816.1347097321</v>
      </c>
      <c r="T8" s="47">
        <f t="shared" ref="T8" si="6">IFERROR((SUM(T9:T10)+T13),"x")</f>
        <v>3617634.7841218924</v>
      </c>
      <c r="U8" s="47">
        <f t="shared" ref="U8" si="7">IFERROR((SUM(U9:U10)+U13),"x")</f>
        <v>3725870.2375939852</v>
      </c>
      <c r="V8" s="47">
        <f t="shared" ref="V8:W8" si="8">IFERROR((SUM(V9:V10)+V13),"x")</f>
        <v>4183702.4</v>
      </c>
      <c r="W8" s="47">
        <f t="shared" si="8"/>
        <v>3579919.9898840887</v>
      </c>
      <c r="X8" s="47">
        <f t="shared" ref="X8" si="9">IFERROR((SUM(X9:X10)+X13),"x")</f>
        <v>3077948.0672312938</v>
      </c>
      <c r="Y8" s="47">
        <f t="shared" ref="Y8:AB8" si="10">IFERROR((SUM(Y9:Y10)+Y13),"x")</f>
        <v>3964084.4183696955</v>
      </c>
      <c r="Z8" s="47">
        <f t="shared" si="10"/>
        <v>3543399.5630925428</v>
      </c>
      <c r="AA8" s="47">
        <f t="shared" si="10"/>
        <v>3269689.4676823611</v>
      </c>
      <c r="AB8" s="47">
        <f t="shared" si="10"/>
        <v>3517375.5338239106</v>
      </c>
      <c r="AC8" s="47">
        <f>SUMIF(B8:AB8,"&gt;0")/COUNTIF(B8:AB8,"&gt;0")</f>
        <v>3678908.8038336337</v>
      </c>
      <c r="AD8" s="51"/>
      <c r="AE8" s="51"/>
      <c r="AF8" s="5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</row>
    <row r="9" spans="1:54" x14ac:dyDescent="0.25">
      <c r="A9" s="16" t="s">
        <v>37</v>
      </c>
      <c r="B9" s="43">
        <f>B11+B12</f>
        <v>2631603.846153846</v>
      </c>
      <c r="C9" s="43">
        <f>C11+C12</f>
        <v>2978376</v>
      </c>
      <c r="D9" s="47">
        <f t="shared" ref="D9:V9" si="11">D11+D12</f>
        <v>2534900</v>
      </c>
      <c r="E9" s="47">
        <f>E11+E12</f>
        <v>2845780.4713804713</v>
      </c>
      <c r="F9" s="47">
        <f t="shared" si="11"/>
        <v>2784365.9999999995</v>
      </c>
      <c r="G9" s="47">
        <f t="shared" si="11"/>
        <v>2713772.0038582105</v>
      </c>
      <c r="H9" s="47">
        <f t="shared" si="11"/>
        <v>2601437.2828738266</v>
      </c>
      <c r="I9" s="47">
        <f t="shared" si="11"/>
        <v>2521550.291545189</v>
      </c>
      <c r="J9" s="47">
        <f t="shared" si="11"/>
        <v>2456306.6205533599</v>
      </c>
      <c r="K9" s="47">
        <f>K11+K12</f>
        <v>2897106.4798167204</v>
      </c>
      <c r="L9" s="47">
        <f t="shared" ref="L9:O9" si="12">L11+L12</f>
        <v>2672088.5008018292</v>
      </c>
      <c r="M9" s="47">
        <f t="shared" si="12"/>
        <v>2953360.9745704429</v>
      </c>
      <c r="N9" s="47">
        <f t="shared" si="12"/>
        <v>2826788.3613745663</v>
      </c>
      <c r="O9" s="47">
        <f t="shared" si="12"/>
        <v>2672088.5008018292</v>
      </c>
      <c r="P9" s="47">
        <f t="shared" si="11"/>
        <v>3223440.5380422655</v>
      </c>
      <c r="Q9" s="47">
        <f t="shared" ref="Q9" si="13">Q11+Q12</f>
        <v>2685043.5257237689</v>
      </c>
      <c r="R9" s="47">
        <f t="shared" si="11"/>
        <v>2533332.8925619838</v>
      </c>
      <c r="S9" s="47">
        <f t="shared" si="11"/>
        <v>2759009.0020101871</v>
      </c>
      <c r="T9" s="47">
        <f t="shared" si="11"/>
        <v>2674496.8724939856</v>
      </c>
      <c r="U9" s="47">
        <f t="shared" si="11"/>
        <v>2748790.9774436094</v>
      </c>
      <c r="V9" s="47">
        <f t="shared" si="11"/>
        <v>3088800</v>
      </c>
      <c r="W9" s="47">
        <f t="shared" ref="W9:X9" si="14">W11+W12</f>
        <v>2640890.2002107482</v>
      </c>
      <c r="X9" s="47">
        <f t="shared" si="14"/>
        <v>2268507.4682724732</v>
      </c>
      <c r="Y9" s="47">
        <f t="shared" ref="Y9:AB9" si="15">Y11+Y12</f>
        <v>2933556.690185234</v>
      </c>
      <c r="Z9" s="47">
        <f t="shared" si="15"/>
        <v>2621475.937012272</v>
      </c>
      <c r="AA9" s="47">
        <f t="shared" si="15"/>
        <v>2418426.9048088733</v>
      </c>
      <c r="AB9" s="47">
        <f t="shared" si="15"/>
        <v>2602170.2773174411</v>
      </c>
      <c r="AC9" s="47">
        <f t="shared" ref="AC9:AC16" si="16">SUMIF(B9:AB9,"&gt;0")/COUNTIF(B9:AB9,"&gt;0")</f>
        <v>2714350.6155486344</v>
      </c>
      <c r="AD9" s="51"/>
      <c r="AE9" s="51"/>
      <c r="AF9" s="5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</row>
    <row r="10" spans="1:54" x14ac:dyDescent="0.25">
      <c r="A10" s="16" t="s">
        <v>0</v>
      </c>
      <c r="B10" s="43">
        <f>IFERROR(0.348*B9,"x")</f>
        <v>915798.13846153836</v>
      </c>
      <c r="C10" s="47">
        <f>IFERROR(0.348*C9,"x")</f>
        <v>1036474.8479999999</v>
      </c>
      <c r="D10" s="47">
        <f>IFERROR(0.348*D9,"x")</f>
        <v>882145.2</v>
      </c>
      <c r="E10" s="47">
        <f t="shared" ref="E10:U10" si="17">IFERROR(0.348*E9,"x")</f>
        <v>990331.60404040397</v>
      </c>
      <c r="F10" s="47">
        <f t="shared" si="17"/>
        <v>968959.36799999978</v>
      </c>
      <c r="G10" s="47">
        <f>IFERROR(0.348*G9,"x")</f>
        <v>944392.65734265721</v>
      </c>
      <c r="H10" s="43">
        <f t="shared" si="17"/>
        <v>905300.17444009159</v>
      </c>
      <c r="I10" s="43">
        <f t="shared" si="17"/>
        <v>877499.50145772565</v>
      </c>
      <c r="J10" s="47">
        <f t="shared" si="17"/>
        <v>854794.70395256917</v>
      </c>
      <c r="K10" s="47">
        <f>IFERROR(0.348*K9,"x")</f>
        <v>1008193.0549762186</v>
      </c>
      <c r="L10" s="47">
        <f t="shared" si="17"/>
        <v>929886.79827903653</v>
      </c>
      <c r="M10" s="47">
        <f t="shared" si="17"/>
        <v>1027769.619150514</v>
      </c>
      <c r="N10" s="47">
        <f t="shared" si="17"/>
        <v>983722.34975834901</v>
      </c>
      <c r="O10" s="47">
        <f t="shared" si="17"/>
        <v>929886.79827903653</v>
      </c>
      <c r="P10" s="47">
        <f t="shared" si="17"/>
        <v>1121757.3072387083</v>
      </c>
      <c r="Q10" s="47">
        <f t="shared" si="17"/>
        <v>934395.14695187146</v>
      </c>
      <c r="R10" s="47">
        <f t="shared" si="17"/>
        <v>881599.84661157033</v>
      </c>
      <c r="S10" s="47">
        <f t="shared" si="17"/>
        <v>960135.13269954501</v>
      </c>
      <c r="T10" s="47">
        <f t="shared" si="17"/>
        <v>930724.91162790696</v>
      </c>
      <c r="U10" s="47">
        <f t="shared" si="17"/>
        <v>956579.26015037601</v>
      </c>
      <c r="V10" s="47">
        <f t="shared" ref="V10" si="18">IFERROR(0.348*V9,"x")</f>
        <v>1074902.3999999999</v>
      </c>
      <c r="W10" s="47">
        <f t="shared" ref="W10" si="19">IFERROR(0.348*W9,"x")</f>
        <v>919029.78967334027</v>
      </c>
      <c r="X10" s="47">
        <f t="shared" ref="X10" si="20">IFERROR(0.348*X9,"x")</f>
        <v>789440.59895882057</v>
      </c>
      <c r="Y10" s="47">
        <f t="shared" ref="Y10" si="21">IFERROR(0.348*Y9,"x")</f>
        <v>1020877.7281844614</v>
      </c>
      <c r="Z10" s="47">
        <f t="shared" ref="Z10" si="22">IFERROR(0.348*Z9,"x")</f>
        <v>912273.62608027062</v>
      </c>
      <c r="AA10" s="47">
        <f t="shared" ref="AA10" si="23">IFERROR(0.348*AA9,"x")</f>
        <v>841612.56287348783</v>
      </c>
      <c r="AB10" s="47">
        <f t="shared" ref="AB10" si="24">IFERROR(0.348*AB9,"x")</f>
        <v>905555.25650646945</v>
      </c>
      <c r="AC10" s="47">
        <f t="shared" si="16"/>
        <v>944594.01421092451</v>
      </c>
      <c r="AD10" s="51"/>
      <c r="AE10" s="51"/>
      <c r="AF10" s="5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</row>
    <row r="11" spans="1:54" x14ac:dyDescent="0.25">
      <c r="A11" s="16" t="s">
        <v>38</v>
      </c>
      <c r="B11" s="43">
        <f>IFERROR(12*B15/B14,"x")</f>
        <v>2324953.846153846</v>
      </c>
      <c r="C11" s="43">
        <f t="shared" ref="C11:V11" si="25">IFERROR(12*C15/C14,"x")</f>
        <v>2222832</v>
      </c>
      <c r="D11" s="47">
        <f>IFERROR(12*D15/D14,"x")</f>
        <v>1999400</v>
      </c>
      <c r="E11" s="47">
        <f>IFERROR(12*E15/E14,"x")</f>
        <v>2284254.5454545454</v>
      </c>
      <c r="F11" s="47">
        <f>IFERROR(12*F15/F14,"x")</f>
        <v>1700165.9999999998</v>
      </c>
      <c r="G11" s="47">
        <f t="shared" si="25"/>
        <v>1603038.4615384615</v>
      </c>
      <c r="H11" s="43">
        <f t="shared" si="25"/>
        <v>1534196.3190184049</v>
      </c>
      <c r="I11" s="43">
        <f t="shared" si="25"/>
        <v>1488535.7142857141</v>
      </c>
      <c r="J11" s="43">
        <f t="shared" si="25"/>
        <v>1449704.3478260871</v>
      </c>
      <c r="K11" s="47">
        <f>IFERROR(12*K15/K14,"x")</f>
        <v>2039373.4488888851</v>
      </c>
      <c r="L11" s="47">
        <f t="shared" ref="L11:O11" si="26">IFERROR(12*L15/L14,"x")</f>
        <v>1880975.5111111077</v>
      </c>
      <c r="M11" s="47">
        <f t="shared" si="26"/>
        <v>2078972.9333333296</v>
      </c>
      <c r="N11" s="47">
        <f t="shared" si="26"/>
        <v>1989874.0933333295</v>
      </c>
      <c r="O11" s="47">
        <f t="shared" si="26"/>
        <v>1880975.5111111077</v>
      </c>
      <c r="P11" s="47">
        <f t="shared" si="25"/>
        <v>2379615.7205240172</v>
      </c>
      <c r="Q11" s="47">
        <f t="shared" ref="Q11" si="27">IFERROR(12*Q15/Q14,"x")</f>
        <v>1981570.9090909089</v>
      </c>
      <c r="R11" s="47">
        <f t="shared" si="25"/>
        <v>2157471.0743801654</v>
      </c>
      <c r="S11" s="47">
        <f t="shared" si="25"/>
        <v>2005475.2293577981</v>
      </c>
      <c r="T11" s="47">
        <f t="shared" si="25"/>
        <v>1836868.9655172415</v>
      </c>
      <c r="U11" s="47">
        <f t="shared" si="25"/>
        <v>2465485.7142857146</v>
      </c>
      <c r="V11" s="47">
        <f t="shared" si="25"/>
        <v>1916129.0322580643</v>
      </c>
      <c r="W11" s="47">
        <f t="shared" ref="W11:X11" si="28">IFERROR(12*W15/W14,"x")</f>
        <v>1644923.0769230768</v>
      </c>
      <c r="X11" s="47">
        <f t="shared" si="28"/>
        <v>1406842.105263158</v>
      </c>
      <c r="Y11" s="47">
        <f t="shared" ref="Y11:AB11" si="29">IFERROR(12*Y15/Y14,"x")</f>
        <v>1857189.0145395801</v>
      </c>
      <c r="Z11" s="47">
        <f>IFERROR(12*Z15/Z14,"x")</f>
        <v>1793447.7379095163</v>
      </c>
      <c r="AA11" s="47">
        <f t="shared" si="29"/>
        <v>1567493.8641941641</v>
      </c>
      <c r="AB11" s="47">
        <f t="shared" si="29"/>
        <v>1724055.1889622076</v>
      </c>
      <c r="AC11" s="47">
        <f t="shared" si="16"/>
        <v>1896808.1616763126</v>
      </c>
      <c r="AD11" s="51"/>
      <c r="AE11" s="51"/>
      <c r="AF11" s="5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</row>
    <row r="12" spans="1:54" x14ac:dyDescent="0.25">
      <c r="A12" s="16" t="s">
        <v>39</v>
      </c>
      <c r="B12" s="43">
        <f>IFERROR(12*B17/B16,"x")</f>
        <v>306650</v>
      </c>
      <c r="C12" s="43">
        <f>IFERROR(12*C17/C16,"x")</f>
        <v>755544</v>
      </c>
      <c r="D12" s="47">
        <f>IFERROR(12*D17/D16,"x")</f>
        <v>535500</v>
      </c>
      <c r="E12" s="47">
        <f t="shared" ref="E12:V12" si="30">IFERROR(12*E17/E16,"x")</f>
        <v>561525.92592592584</v>
      </c>
      <c r="F12" s="47">
        <f>IFERROR(12*F17/F16,"x")</f>
        <v>1084199.9999999998</v>
      </c>
      <c r="G12" s="47">
        <f t="shared" si="30"/>
        <v>1110733.5423197492</v>
      </c>
      <c r="H12" s="43">
        <f t="shared" si="30"/>
        <v>1067240.9638554216</v>
      </c>
      <c r="I12" s="43">
        <f t="shared" si="30"/>
        <v>1033014.5772594751</v>
      </c>
      <c r="J12" s="43">
        <f t="shared" si="30"/>
        <v>1006602.2727272728</v>
      </c>
      <c r="K12" s="47">
        <f t="shared" ref="K12:O12" si="31">IFERROR(12*K17/K16,"x")</f>
        <v>857733.03092783515</v>
      </c>
      <c r="L12" s="47">
        <f t="shared" si="31"/>
        <v>791112.98969072162</v>
      </c>
      <c r="M12" s="47">
        <f t="shared" si="31"/>
        <v>874388.04123711342</v>
      </c>
      <c r="N12" s="47">
        <f t="shared" si="31"/>
        <v>836914.26804123702</v>
      </c>
      <c r="O12" s="47">
        <f t="shared" si="31"/>
        <v>791112.98969072162</v>
      </c>
      <c r="P12" s="47">
        <f t="shared" si="30"/>
        <v>843824.81751824822</v>
      </c>
      <c r="Q12" s="47">
        <f>IFERROR(12*Q17/Q16,"x")</f>
        <v>703472.61663286004</v>
      </c>
      <c r="R12" s="47">
        <f t="shared" si="30"/>
        <v>375861.81818181818</v>
      </c>
      <c r="S12" s="47">
        <f t="shared" si="30"/>
        <v>753533.77265238878</v>
      </c>
      <c r="T12" s="47">
        <f t="shared" si="30"/>
        <v>837627.90697674418</v>
      </c>
      <c r="U12" s="47">
        <f t="shared" si="30"/>
        <v>283305.26315789478</v>
      </c>
      <c r="V12" s="47">
        <f t="shared" si="30"/>
        <v>1172670.9677419355</v>
      </c>
      <c r="W12" s="47">
        <f>IFERROR(12*W17/W16,"x")</f>
        <v>995967.12328767125</v>
      </c>
      <c r="X12" s="47">
        <f t="shared" ref="X12" si="32">IFERROR(12*X17/X16,"x")</f>
        <v>861665.36300931522</v>
      </c>
      <c r="Y12" s="47">
        <f>IFERROR(12*Y17/Y16,"x")</f>
        <v>1076367.6756456541</v>
      </c>
      <c r="Z12" s="47">
        <f t="shared" ref="Z12:AB12" si="33">IFERROR(12*Z17/Z16,"x")</f>
        <v>828028.19910275575</v>
      </c>
      <c r="AA12" s="47">
        <f t="shared" si="33"/>
        <v>850933.04061470903</v>
      </c>
      <c r="AB12" s="47">
        <f t="shared" si="33"/>
        <v>878115.08835523331</v>
      </c>
      <c r="AC12" s="47">
        <f t="shared" si="16"/>
        <v>817542.45387232222</v>
      </c>
      <c r="AD12" s="51"/>
      <c r="AE12" s="51"/>
      <c r="AF12" s="5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</row>
    <row r="13" spans="1:54" x14ac:dyDescent="0.25">
      <c r="A13" s="16" t="s">
        <v>28</v>
      </c>
      <c r="B13" s="43">
        <v>20620</v>
      </c>
      <c r="C13" s="43">
        <v>36595</v>
      </c>
      <c r="D13" s="47">
        <v>20620</v>
      </c>
      <c r="E13" s="47">
        <v>20342</v>
      </c>
      <c r="F13" s="47">
        <v>20620</v>
      </c>
      <c r="G13" s="47">
        <v>26600</v>
      </c>
      <c r="H13" s="43">
        <v>26600</v>
      </c>
      <c r="I13" s="43">
        <v>26600</v>
      </c>
      <c r="J13" s="43">
        <v>26600</v>
      </c>
      <c r="K13" s="47">
        <f>20620*1.03</f>
        <v>21238.600000000002</v>
      </c>
      <c r="L13" s="47">
        <f>20620*0.95</f>
        <v>19589</v>
      </c>
      <c r="M13" s="47">
        <f>20620*1.05</f>
        <v>21651</v>
      </c>
      <c r="N13" s="47">
        <f>20620*1.005</f>
        <v>20723.099999999999</v>
      </c>
      <c r="O13" s="47">
        <f>20620*0.95</f>
        <v>19589</v>
      </c>
      <c r="P13" s="47">
        <v>20620</v>
      </c>
      <c r="Q13" s="47">
        <v>20620</v>
      </c>
      <c r="R13" s="47">
        <v>20620</v>
      </c>
      <c r="S13" s="47">
        <v>17672</v>
      </c>
      <c r="T13" s="47">
        <v>12413</v>
      </c>
      <c r="U13" s="47">
        <v>20500</v>
      </c>
      <c r="V13" s="47">
        <v>20000</v>
      </c>
      <c r="W13" s="47">
        <v>20000</v>
      </c>
      <c r="X13" s="47">
        <v>20000</v>
      </c>
      <c r="Y13" s="47">
        <v>9650</v>
      </c>
      <c r="Z13" s="47">
        <v>9650</v>
      </c>
      <c r="AA13" s="47">
        <v>9650</v>
      </c>
      <c r="AB13" s="47">
        <v>9650</v>
      </c>
      <c r="AC13" s="47">
        <f t="shared" si="16"/>
        <v>19964.174074074072</v>
      </c>
      <c r="AD13" s="51"/>
      <c r="AE13" s="51"/>
      <c r="AF13" s="5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</row>
    <row r="14" spans="1:54" s="18" customFormat="1" ht="15" customHeight="1" x14ac:dyDescent="0.25">
      <c r="A14" s="16" t="s">
        <v>31</v>
      </c>
      <c r="B14" s="42">
        <v>0.26</v>
      </c>
      <c r="C14" s="42">
        <v>0.25</v>
      </c>
      <c r="D14" s="46">
        <v>0.3</v>
      </c>
      <c r="E14" s="46">
        <v>0.22</v>
      </c>
      <c r="F14" s="46">
        <v>0.32573289902280134</v>
      </c>
      <c r="G14" s="46">
        <v>0.312</v>
      </c>
      <c r="H14" s="46">
        <v>0.32600000000000001</v>
      </c>
      <c r="I14" s="42">
        <v>0.33600000000000002</v>
      </c>
      <c r="J14" s="42">
        <v>0.34499999999999997</v>
      </c>
      <c r="K14" s="46">
        <f>0.287234042553192/1.03</f>
        <v>0.2788680024788272</v>
      </c>
      <c r="L14" s="46">
        <f>0.287234042553192/0.95</f>
        <v>0.30235162374020214</v>
      </c>
      <c r="M14" s="46">
        <f>0.287234042553192/1.05</f>
        <v>0.27355623100304</v>
      </c>
      <c r="N14" s="46">
        <f>0.287234042553192/1.005</f>
        <v>0.28580501746586273</v>
      </c>
      <c r="O14" s="46">
        <f>0.287234042553192/0.95</f>
        <v>0.30235162374020214</v>
      </c>
      <c r="P14" s="46">
        <v>0.22900000000000001</v>
      </c>
      <c r="Q14" s="42">
        <v>0.27500000000000002</v>
      </c>
      <c r="R14" s="46">
        <v>0.24199999999999999</v>
      </c>
      <c r="S14" s="46">
        <v>0.27250000000000002</v>
      </c>
      <c r="T14" s="46">
        <v>0.28999999999999998</v>
      </c>
      <c r="U14" s="46">
        <v>0.245</v>
      </c>
      <c r="V14" s="46">
        <v>0.27900000000000003</v>
      </c>
      <c r="W14" s="46">
        <v>0.32500000000000001</v>
      </c>
      <c r="X14" s="46">
        <v>0.38</v>
      </c>
      <c r="Y14" s="46">
        <v>0.3095</v>
      </c>
      <c r="Z14" s="46">
        <v>0.32050000000000001</v>
      </c>
      <c r="AA14" s="46">
        <v>0.36670000000000003</v>
      </c>
      <c r="AB14" s="46">
        <v>0.33339999999999997</v>
      </c>
      <c r="AC14" s="46">
        <f t="shared" si="16"/>
        <v>0.29575057027596058</v>
      </c>
      <c r="AD14" s="52"/>
      <c r="AE14" s="52"/>
      <c r="AF14" s="52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</row>
    <row r="15" spans="1:54" x14ac:dyDescent="0.25">
      <c r="A15" s="16" t="s">
        <v>32</v>
      </c>
      <c r="B15" s="43">
        <v>50374</v>
      </c>
      <c r="C15" s="43">
        <v>46309</v>
      </c>
      <c r="D15" s="47">
        <v>49985</v>
      </c>
      <c r="E15" s="47">
        <v>41878</v>
      </c>
      <c r="F15" s="47">
        <v>46150</v>
      </c>
      <c r="G15" s="47">
        <v>41679</v>
      </c>
      <c r="H15" s="47">
        <v>41679</v>
      </c>
      <c r="I15" s="47">
        <v>41679</v>
      </c>
      <c r="J15" s="47">
        <v>41679</v>
      </c>
      <c r="K15" s="47">
        <v>47393</v>
      </c>
      <c r="L15" s="47">
        <v>47393</v>
      </c>
      <c r="M15" s="47">
        <v>47393</v>
      </c>
      <c r="N15" s="47">
        <v>47393</v>
      </c>
      <c r="O15" s="47">
        <v>47393</v>
      </c>
      <c r="P15" s="47">
        <v>45411</v>
      </c>
      <c r="Q15" s="47">
        <v>45411</v>
      </c>
      <c r="R15" s="47">
        <v>43509</v>
      </c>
      <c r="S15" s="47">
        <v>45541</v>
      </c>
      <c r="T15" s="47">
        <v>44391</v>
      </c>
      <c r="U15" s="47">
        <v>50337</v>
      </c>
      <c r="V15" s="47">
        <v>44550</v>
      </c>
      <c r="W15" s="47">
        <v>44550</v>
      </c>
      <c r="X15" s="47">
        <v>44550</v>
      </c>
      <c r="Y15" s="47">
        <v>47900</v>
      </c>
      <c r="Z15" s="47">
        <v>47900</v>
      </c>
      <c r="AA15" s="47">
        <v>47900</v>
      </c>
      <c r="AB15" s="47">
        <v>47900</v>
      </c>
      <c r="AC15" s="75">
        <f>(B15+C15+D15+E15+F15+G15+K15+P15+R15+S15+T15+U15+V15+Y15)/14</f>
        <v>46100.5</v>
      </c>
      <c r="AD15" s="52"/>
      <c r="AE15" s="52"/>
      <c r="AF15" s="52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</row>
    <row r="16" spans="1:54" x14ac:dyDescent="0.25">
      <c r="A16" s="16" t="s">
        <v>33</v>
      </c>
      <c r="B16" s="42">
        <v>1.2</v>
      </c>
      <c r="C16" s="42">
        <v>0.5</v>
      </c>
      <c r="D16" s="46">
        <v>0.6</v>
      </c>
      <c r="E16" s="46">
        <v>0.81</v>
      </c>
      <c r="F16" s="46">
        <v>0.35971223021582738</v>
      </c>
      <c r="G16" s="46">
        <v>0.31900000000000001</v>
      </c>
      <c r="H16" s="46">
        <v>0.33200000000000002</v>
      </c>
      <c r="I16" s="42">
        <v>0.34300000000000003</v>
      </c>
      <c r="J16" s="42">
        <v>0.35199999999999998</v>
      </c>
      <c r="K16" s="46">
        <f>0.485/1.03</f>
        <v>0.47087378640776695</v>
      </c>
      <c r="L16" s="46">
        <f>0.485/0.95</f>
        <v>0.51052631578947372</v>
      </c>
      <c r="M16" s="46">
        <f>0.485/1.05</f>
        <v>0.46190476190476187</v>
      </c>
      <c r="N16" s="46">
        <f>0.485/1.005</f>
        <v>0.48258706467661694</v>
      </c>
      <c r="O16" s="46">
        <f>0.485/0.95</f>
        <v>0.51052631578947372</v>
      </c>
      <c r="P16" s="46">
        <v>0.41099999999999998</v>
      </c>
      <c r="Q16" s="46">
        <v>0.49299999999999999</v>
      </c>
      <c r="R16" s="46">
        <v>1.1000000000000001</v>
      </c>
      <c r="S16" s="46">
        <v>0.48559999999999998</v>
      </c>
      <c r="T16" s="46">
        <v>0.43</v>
      </c>
      <c r="U16" s="46">
        <v>1.1399999999999999</v>
      </c>
      <c r="V16" s="46">
        <v>0.31</v>
      </c>
      <c r="W16" s="46">
        <v>0.36499999999999999</v>
      </c>
      <c r="X16" s="46">
        <v>0.42188999999999999</v>
      </c>
      <c r="Y16" s="46">
        <v>0.36009999999999998</v>
      </c>
      <c r="Z16" s="46">
        <v>0.46810000000000002</v>
      </c>
      <c r="AA16" s="46">
        <v>0.45550000000000002</v>
      </c>
      <c r="AB16" s="46">
        <v>0.44140000000000001</v>
      </c>
      <c r="AC16" s="46">
        <f t="shared" si="16"/>
        <v>0.52347112869570067</v>
      </c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</row>
    <row r="17" spans="1:54" x14ac:dyDescent="0.25">
      <c r="A17" s="16" t="s">
        <v>34</v>
      </c>
      <c r="B17" s="43">
        <v>30665</v>
      </c>
      <c r="C17" s="43">
        <v>31481</v>
      </c>
      <c r="D17" s="47">
        <v>26775</v>
      </c>
      <c r="E17" s="47">
        <v>37903</v>
      </c>
      <c r="F17" s="47">
        <v>32500</v>
      </c>
      <c r="G17" s="47">
        <v>29527</v>
      </c>
      <c r="H17" s="47">
        <v>29527</v>
      </c>
      <c r="I17" s="47">
        <v>29527</v>
      </c>
      <c r="J17" s="47">
        <v>29527</v>
      </c>
      <c r="K17" s="47">
        <v>33657</v>
      </c>
      <c r="L17" s="47">
        <v>33657</v>
      </c>
      <c r="M17" s="47">
        <v>33657</v>
      </c>
      <c r="N17" s="47">
        <v>33657</v>
      </c>
      <c r="O17" s="47">
        <v>33657</v>
      </c>
      <c r="P17" s="47">
        <v>28901</v>
      </c>
      <c r="Q17" s="47">
        <v>28901</v>
      </c>
      <c r="R17" s="47">
        <v>34454</v>
      </c>
      <c r="S17" s="47">
        <v>30493</v>
      </c>
      <c r="T17" s="47">
        <v>30015</v>
      </c>
      <c r="U17" s="47">
        <v>26914</v>
      </c>
      <c r="V17" s="47">
        <v>30294</v>
      </c>
      <c r="W17" s="47">
        <v>30294</v>
      </c>
      <c r="X17" s="47">
        <v>30294</v>
      </c>
      <c r="Y17" s="47">
        <v>32300</v>
      </c>
      <c r="Z17" s="47">
        <v>32300</v>
      </c>
      <c r="AA17" s="47">
        <v>32300</v>
      </c>
      <c r="AB17" s="47">
        <v>32300</v>
      </c>
      <c r="AC17" s="75">
        <f>(B17+C17+D17+E17+F17+G17+K17+P17+R17+S17+T17+U17+V17+Y17)/14</f>
        <v>31134.214285714286</v>
      </c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</row>
    <row r="18" spans="1:54" ht="33.75" x14ac:dyDescent="0.25">
      <c r="A18" s="31" t="s">
        <v>47</v>
      </c>
      <c r="B18" s="44">
        <v>1</v>
      </c>
      <c r="C18" s="44">
        <v>1</v>
      </c>
      <c r="D18" s="48">
        <v>1</v>
      </c>
      <c r="E18" s="48">
        <v>1</v>
      </c>
      <c r="F18" s="48">
        <v>1</v>
      </c>
      <c r="G18" s="72">
        <v>4</v>
      </c>
      <c r="H18" s="73"/>
      <c r="I18" s="73"/>
      <c r="J18" s="74"/>
      <c r="K18" s="66">
        <v>5</v>
      </c>
      <c r="L18" s="67"/>
      <c r="M18" s="67"/>
      <c r="N18" s="67"/>
      <c r="O18" s="68"/>
      <c r="P18" s="72">
        <v>2</v>
      </c>
      <c r="Q18" s="73"/>
      <c r="R18" s="48">
        <v>1</v>
      </c>
      <c r="S18" s="48">
        <v>1</v>
      </c>
      <c r="T18" s="48">
        <v>1</v>
      </c>
      <c r="U18" s="48">
        <v>1</v>
      </c>
      <c r="V18" s="69">
        <v>3</v>
      </c>
      <c r="W18" s="70"/>
      <c r="X18" s="70"/>
      <c r="Y18" s="71">
        <v>4</v>
      </c>
      <c r="Z18" s="71"/>
      <c r="AA18" s="71"/>
      <c r="AB18" s="71"/>
    </row>
    <row r="19" spans="1:54" x14ac:dyDescent="0.15">
      <c r="Q19" s="34"/>
    </row>
    <row r="21" spans="1:54" x14ac:dyDescent="0.2">
      <c r="C21" s="53"/>
      <c r="D21" s="54"/>
      <c r="E21" s="54"/>
      <c r="F21" s="54"/>
      <c r="G21" s="54"/>
      <c r="H21" s="54"/>
      <c r="I21" s="54"/>
      <c r="J21" s="54"/>
      <c r="K21" s="54"/>
      <c r="L21" s="54"/>
      <c r="M21" s="54"/>
    </row>
    <row r="22" spans="1:54" x14ac:dyDescent="0.25">
      <c r="C22" s="55"/>
      <c r="D22" s="56"/>
      <c r="E22" s="57"/>
      <c r="F22" s="57"/>
      <c r="G22" s="58"/>
      <c r="H22" s="58"/>
      <c r="I22" s="59"/>
      <c r="J22" s="59"/>
      <c r="K22" s="59"/>
      <c r="L22" s="60"/>
      <c r="M22" s="61"/>
    </row>
  </sheetData>
  <mergeCells count="9">
    <mergeCell ref="AC5:AC7"/>
    <mergeCell ref="A1:AB1"/>
    <mergeCell ref="A5:A6"/>
    <mergeCell ref="A2:AB2"/>
    <mergeCell ref="K18:O18"/>
    <mergeCell ref="V18:X18"/>
    <mergeCell ref="Y18:AB18"/>
    <mergeCell ref="P18:Q18"/>
    <mergeCell ref="G18:J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54" fitToHeight="0" orientation="landscape" r:id="rId1"/>
  <headerFooter>
    <oddHeader>&amp;LČ.j.: MSMT-5485/2023-1&amp;RPříloha č. 8
&amp;A</oddHeader>
  </headerFooter>
  <ignoredErrors>
    <ignoredError sqref="AC15:AC1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BA957-AF14-4F95-91EE-8A34628E1BBE}">
  <sheetPr>
    <tabColor theme="8" tint="0.59999389629810485"/>
    <pageSetUpPr fitToPage="1"/>
  </sheetPr>
  <dimension ref="A1:AO28"/>
  <sheetViews>
    <sheetView topLeftCell="A31" workbookViewId="0">
      <selection activeCell="L9" sqref="L9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3" width="8.5703125" style="17" customWidth="1"/>
    <col min="14" max="15" width="9" style="17" customWidth="1"/>
    <col min="16" max="17" width="9.140625" style="17"/>
    <col min="18" max="32" width="6" style="17" customWidth="1"/>
    <col min="33" max="16384" width="9.140625" style="17"/>
  </cols>
  <sheetData>
    <row r="1" spans="1:41" ht="18.75" x14ac:dyDescent="0.25">
      <c r="A1" s="64" t="str">
        <f>'DD 2024'!A1:AB1</f>
        <v>Krajské normativy v roce 2024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</row>
    <row r="2" spans="1:41" ht="18.75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41" ht="15.75" customHeight="1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41" ht="15.75" x14ac:dyDescent="0.2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</row>
    <row r="5" spans="1:41" s="15" customFormat="1" ht="15" customHeight="1" x14ac:dyDescent="0.25">
      <c r="A5" s="65"/>
      <c r="B5" s="1" t="s">
        <v>4</v>
      </c>
      <c r="C5" s="2" t="s">
        <v>5</v>
      </c>
      <c r="D5" s="3" t="s">
        <v>6</v>
      </c>
      <c r="E5" s="4" t="s">
        <v>7</v>
      </c>
      <c r="F5" s="5" t="s">
        <v>8</v>
      </c>
      <c r="G5" s="6" t="s">
        <v>9</v>
      </c>
      <c r="H5" s="7" t="s">
        <v>10</v>
      </c>
      <c r="I5" s="8" t="s">
        <v>11</v>
      </c>
      <c r="J5" s="9" t="s">
        <v>12</v>
      </c>
      <c r="K5" s="10" t="s">
        <v>13</v>
      </c>
      <c r="L5" s="11" t="s">
        <v>14</v>
      </c>
      <c r="M5" s="12" t="s">
        <v>15</v>
      </c>
      <c r="N5" s="13" t="s">
        <v>16</v>
      </c>
      <c r="O5" s="14" t="s">
        <v>17</v>
      </c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</row>
    <row r="6" spans="1:41" s="15" customFormat="1" ht="71.25" customHeight="1" x14ac:dyDescent="0.25">
      <c r="A6" s="65"/>
      <c r="B6" s="33" t="s">
        <v>18</v>
      </c>
      <c r="C6" s="33" t="s">
        <v>19</v>
      </c>
      <c r="D6" s="33" t="s">
        <v>2</v>
      </c>
      <c r="E6" s="33" t="s">
        <v>3</v>
      </c>
      <c r="F6" s="33" t="s">
        <v>20</v>
      </c>
      <c r="G6" s="33" t="s">
        <v>21</v>
      </c>
      <c r="H6" s="33" t="s">
        <v>22</v>
      </c>
      <c r="I6" s="33" t="s">
        <v>29</v>
      </c>
      <c r="J6" s="33" t="s">
        <v>23</v>
      </c>
      <c r="K6" s="33" t="s">
        <v>24</v>
      </c>
      <c r="L6" s="33" t="s">
        <v>25</v>
      </c>
      <c r="M6" s="33" t="s">
        <v>26</v>
      </c>
      <c r="N6" s="33" t="s">
        <v>27</v>
      </c>
      <c r="O6" s="33" t="s">
        <v>30</v>
      </c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</row>
    <row r="7" spans="1:41" s="15" customFormat="1" ht="47.25" customHeight="1" x14ac:dyDescent="0.25">
      <c r="A7" s="23" t="s">
        <v>40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35"/>
      <c r="O7" s="28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</row>
    <row r="8" spans="1:41" x14ac:dyDescent="0.25">
      <c r="A8" s="16" t="s">
        <v>1</v>
      </c>
      <c r="B8" s="49" t="s">
        <v>35</v>
      </c>
      <c r="C8" s="49" t="s">
        <v>35</v>
      </c>
      <c r="D8" s="49" t="s">
        <v>35</v>
      </c>
      <c r="E8" s="49" t="s">
        <v>35</v>
      </c>
      <c r="F8" s="49" t="s">
        <v>35</v>
      </c>
      <c r="G8" s="47">
        <f>SUM(G9:G10)+G13</f>
        <v>2941132.0467032967</v>
      </c>
      <c r="H8" s="49" t="s">
        <v>35</v>
      </c>
      <c r="I8" s="49" t="s">
        <v>35</v>
      </c>
      <c r="J8" s="49" t="s">
        <v>35</v>
      </c>
      <c r="K8" s="49" t="s">
        <v>35</v>
      </c>
      <c r="L8" s="47">
        <f>SUM(L9:L10)+L13</f>
        <v>3617634.7841218924</v>
      </c>
      <c r="M8" s="49" t="s">
        <v>35</v>
      </c>
      <c r="N8" s="49" t="s">
        <v>35</v>
      </c>
      <c r="O8" s="49" t="s">
        <v>35</v>
      </c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</row>
    <row r="9" spans="1:41" x14ac:dyDescent="0.25">
      <c r="A9" s="16" t="s">
        <v>37</v>
      </c>
      <c r="B9" s="45" t="s">
        <v>35</v>
      </c>
      <c r="C9" s="45" t="s">
        <v>35</v>
      </c>
      <c r="D9" s="49" t="s">
        <v>35</v>
      </c>
      <c r="E9" s="49" t="s">
        <v>35</v>
      </c>
      <c r="F9" s="49" t="s">
        <v>35</v>
      </c>
      <c r="G9" s="47">
        <f>G11+G12</f>
        <v>2164934.7527472526</v>
      </c>
      <c r="H9" s="49" t="s">
        <v>35</v>
      </c>
      <c r="I9" s="49" t="s">
        <v>35</v>
      </c>
      <c r="J9" s="49" t="s">
        <v>35</v>
      </c>
      <c r="K9" s="49" t="s">
        <v>35</v>
      </c>
      <c r="L9" s="47">
        <f>L11+L12</f>
        <v>2674496.8724939856</v>
      </c>
      <c r="M9" s="49" t="s">
        <v>35</v>
      </c>
      <c r="N9" s="49" t="s">
        <v>35</v>
      </c>
      <c r="O9" s="49" t="s">
        <v>35</v>
      </c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41" x14ac:dyDescent="0.25">
      <c r="A10" s="16" t="s">
        <v>0</v>
      </c>
      <c r="B10" s="45" t="s">
        <v>35</v>
      </c>
      <c r="C10" s="45" t="s">
        <v>35</v>
      </c>
      <c r="D10" s="49" t="s">
        <v>35</v>
      </c>
      <c r="E10" s="49" t="s">
        <v>35</v>
      </c>
      <c r="F10" s="49" t="s">
        <v>35</v>
      </c>
      <c r="G10" s="47">
        <f>IFERROR(0.348*G9,"x")</f>
        <v>753397.2939560439</v>
      </c>
      <c r="H10" s="49" t="s">
        <v>35</v>
      </c>
      <c r="I10" s="49" t="s">
        <v>35</v>
      </c>
      <c r="J10" s="49" t="s">
        <v>35</v>
      </c>
      <c r="K10" s="49" t="s">
        <v>35</v>
      </c>
      <c r="L10" s="47">
        <f>IFERROR(0.348*L9,"x")</f>
        <v>930724.91162790696</v>
      </c>
      <c r="M10" s="49" t="s">
        <v>35</v>
      </c>
      <c r="N10" s="49" t="str">
        <f t="shared" ref="N10" si="0">IFERROR(0.358*N9,"x")</f>
        <v>x</v>
      </c>
      <c r="O10" s="49" t="s">
        <v>35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</row>
    <row r="11" spans="1:41" x14ac:dyDescent="0.25">
      <c r="A11" s="16" t="s">
        <v>38</v>
      </c>
      <c r="B11" s="45" t="s">
        <v>35</v>
      </c>
      <c r="C11" s="45" t="s">
        <v>35</v>
      </c>
      <c r="D11" s="49" t="s">
        <v>35</v>
      </c>
      <c r="E11" s="49" t="s">
        <v>35</v>
      </c>
      <c r="F11" s="49" t="s">
        <v>35</v>
      </c>
      <c r="G11" s="47">
        <f t="shared" ref="G11:N11" si="1">IFERROR(12*G15/G14,"x")</f>
        <v>1374032.9670329671</v>
      </c>
      <c r="H11" s="49" t="s">
        <v>35</v>
      </c>
      <c r="I11" s="49" t="s">
        <v>35</v>
      </c>
      <c r="J11" s="49" t="s">
        <v>35</v>
      </c>
      <c r="K11" s="49" t="s">
        <v>35</v>
      </c>
      <c r="L11" s="47">
        <f t="shared" si="1"/>
        <v>1836868.9655172415</v>
      </c>
      <c r="M11" s="49" t="s">
        <v>35</v>
      </c>
      <c r="N11" s="49" t="str">
        <f t="shared" si="1"/>
        <v>x</v>
      </c>
      <c r="O11" s="49" t="s">
        <v>35</v>
      </c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41" x14ac:dyDescent="0.25">
      <c r="A12" s="16" t="s">
        <v>39</v>
      </c>
      <c r="B12" s="45" t="s">
        <v>35</v>
      </c>
      <c r="C12" s="45" t="s">
        <v>35</v>
      </c>
      <c r="D12" s="49" t="s">
        <v>35</v>
      </c>
      <c r="E12" s="49" t="s">
        <v>35</v>
      </c>
      <c r="F12" s="49" t="s">
        <v>35</v>
      </c>
      <c r="G12" s="47">
        <f t="shared" ref="G12:N12" si="2">IFERROR(12*G17/G16,"x")</f>
        <v>790901.78571428568</v>
      </c>
      <c r="H12" s="49" t="s">
        <v>35</v>
      </c>
      <c r="I12" s="49" t="s">
        <v>35</v>
      </c>
      <c r="J12" s="49" t="s">
        <v>35</v>
      </c>
      <c r="K12" s="49" t="s">
        <v>35</v>
      </c>
      <c r="L12" s="47">
        <f t="shared" si="2"/>
        <v>837627.90697674418</v>
      </c>
      <c r="M12" s="49" t="s">
        <v>35</v>
      </c>
      <c r="N12" s="49" t="str">
        <f t="shared" si="2"/>
        <v>x</v>
      </c>
      <c r="O12" s="49" t="s">
        <v>35</v>
      </c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</row>
    <row r="13" spans="1:41" x14ac:dyDescent="0.25">
      <c r="A13" s="16" t="s">
        <v>28</v>
      </c>
      <c r="B13" s="45" t="s">
        <v>35</v>
      </c>
      <c r="C13" s="45" t="s">
        <v>35</v>
      </c>
      <c r="D13" s="49" t="s">
        <v>35</v>
      </c>
      <c r="E13" s="49" t="s">
        <v>35</v>
      </c>
      <c r="F13" s="49" t="s">
        <v>35</v>
      </c>
      <c r="G13" s="47">
        <v>22800</v>
      </c>
      <c r="H13" s="49" t="s">
        <v>35</v>
      </c>
      <c r="I13" s="49" t="s">
        <v>35</v>
      </c>
      <c r="J13" s="49" t="s">
        <v>35</v>
      </c>
      <c r="K13" s="49" t="s">
        <v>35</v>
      </c>
      <c r="L13" s="47">
        <v>12413</v>
      </c>
      <c r="M13" s="49" t="s">
        <v>35</v>
      </c>
      <c r="N13" s="49" t="s">
        <v>35</v>
      </c>
      <c r="O13" s="49" t="s">
        <v>35</v>
      </c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41" s="18" customFormat="1" ht="15" customHeight="1" x14ac:dyDescent="0.25">
      <c r="A14" s="16" t="s">
        <v>31</v>
      </c>
      <c r="B14" s="45" t="s">
        <v>35</v>
      </c>
      <c r="C14" s="45" t="s">
        <v>35</v>
      </c>
      <c r="D14" s="49" t="s">
        <v>35</v>
      </c>
      <c r="E14" s="49" t="s">
        <v>35</v>
      </c>
      <c r="F14" s="49" t="s">
        <v>35</v>
      </c>
      <c r="G14" s="46">
        <v>0.36399999999999999</v>
      </c>
      <c r="H14" s="49" t="s">
        <v>35</v>
      </c>
      <c r="I14" s="49" t="s">
        <v>35</v>
      </c>
      <c r="J14" s="49" t="s">
        <v>35</v>
      </c>
      <c r="K14" s="49" t="s">
        <v>35</v>
      </c>
      <c r="L14" s="46">
        <v>0.28999999999999998</v>
      </c>
      <c r="M14" s="49" t="s">
        <v>35</v>
      </c>
      <c r="N14" s="50" t="s">
        <v>35</v>
      </c>
      <c r="O14" s="49" t="s">
        <v>35</v>
      </c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</row>
    <row r="15" spans="1:41" x14ac:dyDescent="0.25">
      <c r="A15" s="16" t="s">
        <v>32</v>
      </c>
      <c r="B15" s="45" t="s">
        <v>35</v>
      </c>
      <c r="C15" s="45" t="s">
        <v>35</v>
      </c>
      <c r="D15" s="49" t="s">
        <v>35</v>
      </c>
      <c r="E15" s="49" t="s">
        <v>35</v>
      </c>
      <c r="F15" s="49" t="s">
        <v>35</v>
      </c>
      <c r="G15" s="47">
        <v>41679</v>
      </c>
      <c r="H15" s="49" t="s">
        <v>35</v>
      </c>
      <c r="I15" s="49" t="s">
        <v>35</v>
      </c>
      <c r="J15" s="49" t="s">
        <v>35</v>
      </c>
      <c r="K15" s="49" t="s">
        <v>35</v>
      </c>
      <c r="L15" s="47">
        <v>44391</v>
      </c>
      <c r="M15" s="49" t="s">
        <v>35</v>
      </c>
      <c r="N15" s="49" t="s">
        <v>35</v>
      </c>
      <c r="O15" s="49" t="s">
        <v>35</v>
      </c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41" x14ac:dyDescent="0.25">
      <c r="A16" s="16" t="s">
        <v>33</v>
      </c>
      <c r="B16" s="45" t="s">
        <v>35</v>
      </c>
      <c r="C16" s="45" t="s">
        <v>35</v>
      </c>
      <c r="D16" s="49" t="s">
        <v>35</v>
      </c>
      <c r="E16" s="49" t="s">
        <v>35</v>
      </c>
      <c r="F16" s="49" t="s">
        <v>35</v>
      </c>
      <c r="G16" s="46">
        <v>0.44800000000000001</v>
      </c>
      <c r="H16" s="49" t="s">
        <v>35</v>
      </c>
      <c r="I16" s="49" t="s">
        <v>35</v>
      </c>
      <c r="J16" s="49" t="s">
        <v>35</v>
      </c>
      <c r="K16" s="49" t="s">
        <v>35</v>
      </c>
      <c r="L16" s="46">
        <v>0.43</v>
      </c>
      <c r="M16" s="49" t="s">
        <v>35</v>
      </c>
      <c r="N16" s="50" t="s">
        <v>35</v>
      </c>
      <c r="O16" s="49" t="s">
        <v>35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</row>
    <row r="17" spans="1:41" x14ac:dyDescent="0.25">
      <c r="A17" s="16" t="s">
        <v>34</v>
      </c>
      <c r="B17" s="45" t="s">
        <v>35</v>
      </c>
      <c r="C17" s="45" t="s">
        <v>35</v>
      </c>
      <c r="D17" s="49" t="s">
        <v>35</v>
      </c>
      <c r="E17" s="49" t="s">
        <v>35</v>
      </c>
      <c r="F17" s="49" t="s">
        <v>35</v>
      </c>
      <c r="G17" s="47">
        <v>29527</v>
      </c>
      <c r="H17" s="49" t="s">
        <v>35</v>
      </c>
      <c r="I17" s="49" t="s">
        <v>35</v>
      </c>
      <c r="J17" s="49" t="s">
        <v>35</v>
      </c>
      <c r="K17" s="49" t="s">
        <v>35</v>
      </c>
      <c r="L17" s="47">
        <v>30015</v>
      </c>
      <c r="M17" s="49" t="s">
        <v>35</v>
      </c>
      <c r="N17" s="49" t="s">
        <v>35</v>
      </c>
      <c r="O17" s="49" t="s">
        <v>35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 x14ac:dyDescent="0.25">
      <c r="A18" s="19"/>
      <c r="B18" s="19"/>
      <c r="C18" s="19"/>
      <c r="D18" s="19"/>
      <c r="E18" s="19"/>
      <c r="F18" s="19"/>
      <c r="G18" s="19"/>
      <c r="H18" s="20"/>
      <c r="I18" s="19"/>
      <c r="J18" s="19"/>
      <c r="K18" s="19"/>
      <c r="L18" s="19"/>
      <c r="M18" s="19"/>
      <c r="N18" s="19"/>
      <c r="O18" s="20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</row>
    <row r="20" spans="1:41" x14ac:dyDescent="0.25">
      <c r="N20" s="29"/>
    </row>
    <row r="21" spans="1:41" x14ac:dyDescent="0.25">
      <c r="N21" s="29"/>
    </row>
    <row r="22" spans="1:41" x14ac:dyDescent="0.25">
      <c r="N22" s="29"/>
    </row>
    <row r="23" spans="1:41" x14ac:dyDescent="0.25">
      <c r="N23" s="29"/>
    </row>
    <row r="24" spans="1:41" x14ac:dyDescent="0.25">
      <c r="N24" s="29"/>
    </row>
    <row r="25" spans="1:41" x14ac:dyDescent="0.25">
      <c r="N25" s="30"/>
    </row>
    <row r="26" spans="1:41" x14ac:dyDescent="0.25">
      <c r="N26" s="29"/>
    </row>
    <row r="27" spans="1:41" x14ac:dyDescent="0.25">
      <c r="N27" s="30"/>
    </row>
    <row r="28" spans="1:41" x14ac:dyDescent="0.25">
      <c r="N28" s="29"/>
    </row>
  </sheetData>
  <mergeCells count="3">
    <mergeCell ref="A1:O1"/>
    <mergeCell ref="A5:A6"/>
    <mergeCell ref="A2:O2"/>
  </mergeCells>
  <printOptions horizontalCentered="1"/>
  <pageMargins left="0.39370078740157483" right="0.39370078740157483" top="0.55118110236220474" bottom="0.55118110236220474" header="0.31496062992125984" footer="0.31496062992125984"/>
  <pageSetup paperSize="9" fitToHeight="0" orientation="landscape" r:id="rId1"/>
  <headerFooter>
    <oddHeader>&amp;LČ.j.: MSMT-5485/2023-1&amp;RPříloha č. 8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titul</vt:lpstr>
      <vt:lpstr>DD 2024</vt:lpstr>
      <vt:lpstr>DD se školou 2024</vt:lpstr>
      <vt:lpstr>'DD 2024'!Názvy_tisku</vt:lpstr>
      <vt:lpstr>'DD se školou 2024'!Názvy_tisku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Hrdinová Jana</cp:lastModifiedBy>
  <cp:lastPrinted>2023-01-20T12:48:22Z</cp:lastPrinted>
  <dcterms:created xsi:type="dcterms:W3CDTF">2013-04-19T07:05:39Z</dcterms:created>
  <dcterms:modified xsi:type="dcterms:W3CDTF">2024-10-29T12:22:23Z</dcterms:modified>
</cp:coreProperties>
</file>