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BDD0DEFE-2006-45D6-A135-E43438AF0B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" sheetId="7" r:id="rId1"/>
    <sheet name="DD 2023" sheetId="4" r:id="rId2"/>
    <sheet name="DD se školou 2023" sheetId="6" r:id="rId3"/>
  </sheets>
  <definedNames>
    <definedName name="_xlnm.Print_Titles" localSheetId="1">'DD 2023'!$1:$6</definedName>
    <definedName name="_xlnm.Print_Titles" localSheetId="2">'DD se školou 2023'!$1:$6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16" i="4" l="1"/>
  <c r="Z16" i="4"/>
  <c r="Y16" i="4"/>
  <c r="AB14" i="4"/>
  <c r="Z14" i="4"/>
  <c r="Y14" i="4"/>
  <c r="O16" i="4" l="1"/>
  <c r="N16" i="4"/>
  <c r="M16" i="4"/>
  <c r="L16" i="4"/>
  <c r="K16" i="4"/>
  <c r="O14" i="4"/>
  <c r="N14" i="4"/>
  <c r="M14" i="4"/>
  <c r="L14" i="4"/>
  <c r="K14" i="4"/>
  <c r="O13" i="4"/>
  <c r="N13" i="4"/>
  <c r="M13" i="4"/>
  <c r="L13" i="4"/>
  <c r="K13" i="4"/>
  <c r="G11" i="6" l="1"/>
  <c r="G12" i="6"/>
  <c r="H12" i="4"/>
  <c r="I12" i="4"/>
  <c r="J12" i="4"/>
  <c r="H11" i="4"/>
  <c r="I11" i="4"/>
  <c r="J11" i="4"/>
  <c r="G9" i="6" l="1"/>
  <c r="I9" i="4"/>
  <c r="I10" i="4" s="1"/>
  <c r="H9" i="4"/>
  <c r="H10" i="4" s="1"/>
  <c r="J9" i="4"/>
  <c r="G10" i="6" l="1"/>
  <c r="G8" i="6" s="1"/>
  <c r="J10" i="4"/>
  <c r="J8" i="4" s="1"/>
  <c r="I8" i="4"/>
  <c r="H8" i="4"/>
  <c r="AB12" i="4" l="1"/>
  <c r="Z12" i="4"/>
  <c r="AB11" i="4"/>
  <c r="Z11" i="4"/>
  <c r="Y12" i="4"/>
  <c r="Y11" i="4"/>
  <c r="AA11" i="4"/>
  <c r="AA12" i="4"/>
  <c r="AA9" i="4" l="1"/>
  <c r="AA10" i="4" s="1"/>
  <c r="AA8" i="4" s="1"/>
  <c r="AB9" i="4"/>
  <c r="AB10" i="4" s="1"/>
  <c r="Y9" i="4"/>
  <c r="Z9" i="4"/>
  <c r="AB8" i="4" l="1"/>
  <c r="Y10" i="4"/>
  <c r="Y8" i="4" s="1"/>
  <c r="Z10" i="4"/>
  <c r="Z8" i="4" s="1"/>
  <c r="W12" i="4" l="1"/>
  <c r="W11" i="4"/>
  <c r="X11" i="4"/>
  <c r="X12" i="4"/>
  <c r="X9" i="4" l="1"/>
  <c r="X10" i="4" s="1"/>
  <c r="X8" i="4" s="1"/>
  <c r="W9" i="4"/>
  <c r="W10" i="4" s="1"/>
  <c r="W8" i="4" s="1"/>
  <c r="Q12" i="4" l="1"/>
  <c r="Q11" i="4"/>
  <c r="Q9" i="4" l="1"/>
  <c r="Q10" i="4" s="1"/>
  <c r="K11" i="4"/>
  <c r="L11" i="4"/>
  <c r="M11" i="4"/>
  <c r="N11" i="4"/>
  <c r="O11" i="4"/>
  <c r="K12" i="4"/>
  <c r="L12" i="4"/>
  <c r="M12" i="4"/>
  <c r="N12" i="4"/>
  <c r="O12" i="4"/>
  <c r="Q8" i="4" l="1"/>
  <c r="O9" i="4"/>
  <c r="M9" i="4"/>
  <c r="L9" i="4"/>
  <c r="K9" i="4"/>
  <c r="K10" i="4" s="1"/>
  <c r="N9" i="4"/>
  <c r="C12" i="4"/>
  <c r="L10" i="4" l="1"/>
  <c r="M10" i="4"/>
  <c r="M8" i="4" s="1"/>
  <c r="O10" i="4"/>
  <c r="O8" i="4" s="1"/>
  <c r="N10" i="4"/>
  <c r="A1" i="6" l="1"/>
  <c r="N12" i="6" l="1"/>
  <c r="L12" i="6"/>
  <c r="N11" i="6"/>
  <c r="L11" i="6"/>
  <c r="N10" i="6" l="1"/>
  <c r="L9" i="6"/>
  <c r="L10" i="6" l="1"/>
  <c r="L8" i="6" s="1"/>
  <c r="C11" i="4" l="1"/>
  <c r="C9" i="4" s="1"/>
  <c r="C10" i="4" s="1"/>
  <c r="C8" i="4" s="1"/>
  <c r="D11" i="4"/>
  <c r="E11" i="4"/>
  <c r="F11" i="4"/>
  <c r="G11" i="4"/>
  <c r="P11" i="4"/>
  <c r="R11" i="4"/>
  <c r="S11" i="4"/>
  <c r="T11" i="4"/>
  <c r="U11" i="4"/>
  <c r="V11" i="4"/>
  <c r="D12" i="4"/>
  <c r="E12" i="4"/>
  <c r="F12" i="4"/>
  <c r="G12" i="4"/>
  <c r="P12" i="4"/>
  <c r="R12" i="4"/>
  <c r="S12" i="4"/>
  <c r="T12" i="4"/>
  <c r="U12" i="4"/>
  <c r="V12" i="4"/>
  <c r="B11" i="4"/>
  <c r="B12" i="4"/>
  <c r="S9" i="4" l="1"/>
  <c r="S10" i="4" s="1"/>
  <c r="S8" i="4" s="1"/>
  <c r="R9" i="4"/>
  <c r="R10" i="4" s="1"/>
  <c r="R8" i="4" s="1"/>
  <c r="T9" i="4"/>
  <c r="T10" i="4" s="1"/>
  <c r="T8" i="4" s="1"/>
  <c r="D9" i="4"/>
  <c r="D10" i="4" s="1"/>
  <c r="D8" i="4" s="1"/>
  <c r="P9" i="4"/>
  <c r="P10" i="4" s="1"/>
  <c r="P8" i="4" s="1"/>
  <c r="B9" i="4"/>
  <c r="G9" i="4"/>
  <c r="V9" i="4"/>
  <c r="V10" i="4" s="1"/>
  <c r="V8" i="4" s="1"/>
  <c r="F9" i="4"/>
  <c r="U9" i="4"/>
  <c r="E9" i="4"/>
  <c r="U10" i="4" l="1"/>
  <c r="U8" i="4" s="1"/>
  <c r="F10" i="4"/>
  <c r="F8" i="4" s="1"/>
  <c r="G10" i="4"/>
  <c r="G8" i="4" s="1"/>
  <c r="B10" i="4"/>
  <c r="B8" i="4" s="1"/>
  <c r="E10" i="4"/>
  <c r="E8" i="4" s="1"/>
  <c r="N8" i="4" l="1"/>
  <c r="L8" i="4"/>
  <c r="K8" i="4"/>
</calcChain>
</file>

<file path=xl/sharedStrings.xml><?xml version="1.0" encoding="utf-8"?>
<sst xmlns="http://schemas.openxmlformats.org/spreadsheetml/2006/main" count="236" uniqueCount="58">
  <si>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</si>
  <si>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</si>
  <si>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</si>
  <si>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</si>
  <si>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</si>
  <si>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</si>
  <si>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</si>
  <si>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</si>
  <si>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</si>
  <si>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</si>
  <si>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</si>
  <si>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</si>
  <si>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</si>
  <si>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</si>
  <si>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</si>
  <si>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</si>
  <si>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</si>
  <si>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</si>
  <si>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</si>
  <si>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</si>
  <si>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</si>
  <si>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</si>
  <si>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</si>
  <si>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</si>
  <si>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</si>
  <si>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</si>
  <si>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</si>
  <si>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</si>
  <si>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ONIV celkem</t>
  </si>
  <si>
    <t>Králové hradecký</t>
  </si>
  <si>
    <t>Moravsko slezský</t>
  </si>
  <si>
    <t>Np</t>
  </si>
  <si>
    <t>Pp</t>
  </si>
  <si>
    <t>No</t>
  </si>
  <si>
    <t>Po</t>
  </si>
  <si>
    <t>x</t>
  </si>
  <si>
    <t>Dětský domov DD - rodinná skupina (v Kč/rodinnou skupinu)</t>
  </si>
  <si>
    <t>MP bez odv.</t>
  </si>
  <si>
    <t>MPP bez odv.</t>
  </si>
  <si>
    <t>MPN bez odv.</t>
  </si>
  <si>
    <t>počet rodinných skupin</t>
  </si>
  <si>
    <t>Dětský domov se školou - rodinná skupina (v Kč/rodinnou skupinu)</t>
  </si>
  <si>
    <t>Porovnání krajských normativů mzdových prostředků a ostatních neinvestičních výdajů</t>
  </si>
  <si>
    <t>DĚTSKÉ DOMOVY</t>
  </si>
  <si>
    <t>5 a 6</t>
  </si>
  <si>
    <t>DĚTSKÉ DOMOVY SE ŠKOLOU</t>
  </si>
  <si>
    <t>Rodinné skupiny dětských domovů/dětských domovů se školou</t>
  </si>
  <si>
    <t>počet normativů
v daném kraji celkem</t>
  </si>
  <si>
    <t>Č.j.: MSMT-5485/2023-1</t>
  </si>
  <si>
    <t>stanovených jednotlivými krajskými úřady pro krajské a obecní školství v roce 2023</t>
  </si>
  <si>
    <t>Krajské normativy v roce 2023</t>
  </si>
  <si>
    <t>3 a více</t>
  </si>
  <si>
    <t>CZ043</t>
  </si>
  <si>
    <t>CZ044</t>
  </si>
  <si>
    <t>CZ045</t>
  </si>
  <si>
    <t>do 3</t>
  </si>
  <si>
    <t>6 a více</t>
  </si>
  <si>
    <t>Příloha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</si>
</sst>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3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 wrapText="1"/>
    </xf>
    <xf numFmtId="1" fontId="11" fillId="0" borderId="6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99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0163-5DA6-434F-BB01-418504AE25C0}">
  <sheetPr>
    <tabColor theme="8" tint="-0.249977111117893"/>
  </sheetPr>
  <dimension ref="A2:A46"/>
  <sheetViews>
    <sheetView tabSelected="1" workbookViewId="0">
      <selection activeCell="A13" sqref="A13"/>
    </sheetView>
  </sheetViews>
  <sheetFormatPr defaultRowHeight="15" x14ac:dyDescent="0.25"/>
  <cols>
    <col min="1" max="1" width="83.85546875" style="31" customWidth="1"/>
  </cols>
  <sheetData>
    <row r="2" spans="1:1" x14ac:dyDescent="0.25">
      <c r="A2" s="28" t="s">
        <v>48</v>
      </c>
    </row>
    <row r="15" spans="1:1" ht="36" x14ac:dyDescent="0.25">
      <c r="A15" s="32" t="s">
        <v>43</v>
      </c>
    </row>
    <row r="16" spans="1:1" ht="36" x14ac:dyDescent="0.25">
      <c r="A16" s="32" t="s">
        <v>45</v>
      </c>
    </row>
    <row r="19" spans="1:1" ht="18.75" x14ac:dyDescent="0.3">
      <c r="A19" s="29" t="s">
        <v>46</v>
      </c>
    </row>
    <row r="21" spans="1:1" ht="18.75" x14ac:dyDescent="0.3">
      <c r="A21" s="29" t="s">
        <v>57</v>
      </c>
    </row>
    <row r="45" spans="1:1" x14ac:dyDescent="0.25">
      <c r="A45" s="30" t="s">
        <v>42</v>
      </c>
    </row>
    <row r="46" spans="1:1" x14ac:dyDescent="0.25">
      <c r="A46" s="31" t="s">
        <v>49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83E-3137-43E1-9025-BD647D6AF375}">
  <sheetPr>
    <tabColor theme="8" tint="0.59999389629810485"/>
    <pageSetUpPr fitToPage="1"/>
  </sheetPr>
  <dimension ref="A1:BB19"/>
  <sheetViews>
    <sheetView workbookViewId="0">
      <pane ySplit="6" topLeftCell="A7" activePane="bottomLeft" state="frozen"/>
      <selection activeCell="C27" sqref="C27"/>
      <selection pane="bottomLeft" activeCell="G24" sqref="G24"/>
    </sheetView>
  </sheetViews>
  <sheetFormatPr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10" width="8.5703125" style="17" customWidth="1"/>
    <col min="11" max="17" width="9.28515625" style="17" customWidth="1"/>
    <col min="18" max="18" width="8.7109375" style="17" customWidth="1"/>
    <col min="19" max="19" width="8.85546875" style="17" customWidth="1"/>
    <col min="20" max="20" width="8.7109375" style="17" customWidth="1"/>
    <col min="21" max="28" width="8.5703125" style="17" customWidth="1"/>
    <col min="29" max="30" width="9.140625" style="17"/>
    <col min="31" max="45" width="6" style="17" customWidth="1"/>
    <col min="46" max="16384" width="9.140625" style="17"/>
  </cols>
  <sheetData>
    <row r="1" spans="1:54" ht="18.75" x14ac:dyDescent="0.25">
      <c r="A1" s="45" t="s">
        <v>50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54" ht="18.75" x14ac:dyDescent="0.25">
      <c r="A2" s="45" t="s">
        <v>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54" ht="15.7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54" ht="15.75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</row>
    <row r="5" spans="1:54" s="15" customFormat="1" ht="15" customHeight="1" x14ac:dyDescent="0.25">
      <c r="A5" s="46"/>
      <c r="B5" s="1" t="s">
        <v>4</v>
      </c>
      <c r="C5" s="2" t="s">
        <v>5</v>
      </c>
      <c r="D5" s="3" t="s">
        <v>6</v>
      </c>
      <c r="E5" s="4" t="s">
        <v>7</v>
      </c>
      <c r="F5" s="5" t="s">
        <v>8</v>
      </c>
      <c r="G5" s="6" t="s">
        <v>9</v>
      </c>
      <c r="H5" s="6" t="s">
        <v>52</v>
      </c>
      <c r="I5" s="6" t="s">
        <v>53</v>
      </c>
      <c r="J5" s="6" t="s">
        <v>54</v>
      </c>
      <c r="K5" s="7" t="s">
        <v>10</v>
      </c>
      <c r="L5" s="7" t="s">
        <v>10</v>
      </c>
      <c r="M5" s="7" t="s">
        <v>10</v>
      </c>
      <c r="N5" s="7" t="s">
        <v>10</v>
      </c>
      <c r="O5" s="7" t="s">
        <v>10</v>
      </c>
      <c r="P5" s="8" t="s">
        <v>11</v>
      </c>
      <c r="Q5" s="8" t="s">
        <v>11</v>
      </c>
      <c r="R5" s="9" t="s">
        <v>12</v>
      </c>
      <c r="S5" s="10" t="s">
        <v>13</v>
      </c>
      <c r="T5" s="11" t="s">
        <v>14</v>
      </c>
      <c r="U5" s="12" t="s">
        <v>15</v>
      </c>
      <c r="V5" s="13" t="s">
        <v>16</v>
      </c>
      <c r="W5" s="13" t="s">
        <v>16</v>
      </c>
      <c r="X5" s="13" t="s">
        <v>16</v>
      </c>
      <c r="Y5" s="14" t="s">
        <v>17</v>
      </c>
      <c r="Z5" s="14" t="s">
        <v>17</v>
      </c>
      <c r="AA5" s="14" t="s">
        <v>17</v>
      </c>
      <c r="AB5" s="14" t="s">
        <v>17</v>
      </c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</row>
    <row r="6" spans="1:54" s="15" customFormat="1" ht="71.25" customHeight="1" x14ac:dyDescent="0.25">
      <c r="A6" s="46"/>
      <c r="B6" s="39" t="s">
        <v>18</v>
      </c>
      <c r="C6" s="39" t="s">
        <v>19</v>
      </c>
      <c r="D6" s="39" t="s">
        <v>2</v>
      </c>
      <c r="E6" s="39" t="s">
        <v>3</v>
      </c>
      <c r="F6" s="39" t="s">
        <v>20</v>
      </c>
      <c r="G6" s="39" t="s">
        <v>21</v>
      </c>
      <c r="H6" s="39" t="s">
        <v>21</v>
      </c>
      <c r="I6" s="39" t="s">
        <v>21</v>
      </c>
      <c r="J6" s="39" t="s">
        <v>21</v>
      </c>
      <c r="K6" s="39" t="s">
        <v>22</v>
      </c>
      <c r="L6" s="39" t="s">
        <v>22</v>
      </c>
      <c r="M6" s="39" t="s">
        <v>22</v>
      </c>
      <c r="N6" s="39" t="s">
        <v>22</v>
      </c>
      <c r="O6" s="39" t="s">
        <v>22</v>
      </c>
      <c r="P6" s="39" t="s">
        <v>29</v>
      </c>
      <c r="Q6" s="39" t="s">
        <v>29</v>
      </c>
      <c r="R6" s="39" t="s">
        <v>23</v>
      </c>
      <c r="S6" s="39" t="s">
        <v>24</v>
      </c>
      <c r="T6" s="39" t="s">
        <v>25</v>
      </c>
      <c r="U6" s="39" t="s">
        <v>26</v>
      </c>
      <c r="V6" s="39" t="s">
        <v>27</v>
      </c>
      <c r="W6" s="39" t="s">
        <v>27</v>
      </c>
      <c r="X6" s="39" t="s">
        <v>27</v>
      </c>
      <c r="Y6" s="39" t="s">
        <v>30</v>
      </c>
      <c r="Z6" s="39" t="s">
        <v>30</v>
      </c>
      <c r="AA6" s="39" t="s">
        <v>30</v>
      </c>
      <c r="AB6" s="39" t="s">
        <v>30</v>
      </c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</row>
    <row r="7" spans="1:54" s="15" customFormat="1" ht="47.25" customHeight="1" x14ac:dyDescent="0.25">
      <c r="A7" s="27" t="s">
        <v>40</v>
      </c>
      <c r="B7" s="33"/>
      <c r="C7" s="33"/>
      <c r="D7" s="33"/>
      <c r="E7" s="33"/>
      <c r="F7" s="33"/>
      <c r="G7" s="6" t="s">
        <v>55</v>
      </c>
      <c r="H7" s="6">
        <v>4</v>
      </c>
      <c r="I7" s="6">
        <v>5</v>
      </c>
      <c r="J7" s="6" t="s">
        <v>56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8">
        <v>2</v>
      </c>
      <c r="Q7" s="8" t="s">
        <v>51</v>
      </c>
      <c r="R7" s="33"/>
      <c r="S7" s="33"/>
      <c r="T7" s="33"/>
      <c r="U7" s="33"/>
      <c r="V7" s="13">
        <v>2</v>
      </c>
      <c r="W7" s="13">
        <v>3</v>
      </c>
      <c r="X7" s="13">
        <v>4</v>
      </c>
      <c r="Y7" s="14">
        <v>3</v>
      </c>
      <c r="Z7" s="14">
        <v>4</v>
      </c>
      <c r="AA7" s="14" t="s">
        <v>44</v>
      </c>
      <c r="AB7" s="14">
        <v>7</v>
      </c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</row>
    <row r="8" spans="1:54" x14ac:dyDescent="0.25">
      <c r="A8" s="16" t="s">
        <v>1</v>
      </c>
      <c r="B8" s="18">
        <f>SUM(B9:B10)+B13</f>
        <v>3667450.98</v>
      </c>
      <c r="C8" s="18">
        <f t="shared" ref="C8" si="0">IFERROR((SUM(C9:C10)+C13),"x")</f>
        <v>4081229.608</v>
      </c>
      <c r="D8" s="18">
        <f t="shared" ref="D8" si="1">IFERROR((SUM(D9:D10)+D13),"x")</f>
        <v>3496250.76</v>
      </c>
      <c r="E8" s="18">
        <f t="shared" ref="E8" si="2">IFERROR((SUM(E9:E10)+E13),"x")</f>
        <v>3894125.2727272725</v>
      </c>
      <c r="F8" s="18">
        <f t="shared" ref="F8" si="3">IFERROR((SUM(F9:F10)+F13),"x")</f>
        <v>3869129.4893630063</v>
      </c>
      <c r="G8" s="18">
        <f t="shared" ref="G8:J8" si="4">IFERROR((SUM(G9:G10)+G13),"x")</f>
        <v>3795554.8034723895</v>
      </c>
      <c r="H8" s="18">
        <f t="shared" si="4"/>
        <v>3639889.2438465515</v>
      </c>
      <c r="I8" s="18">
        <f t="shared" si="4"/>
        <v>3529187.4489795915</v>
      </c>
      <c r="J8" s="18">
        <f t="shared" si="4"/>
        <v>3438777.349802372</v>
      </c>
      <c r="K8" s="18">
        <f t="shared" ref="K8:N8" si="5">IFERROR((SUM(K9:K10)+K13),"x")</f>
        <v>4155934.3576585371</v>
      </c>
      <c r="L8" s="18">
        <f t="shared" si="5"/>
        <v>4116727.4297560975</v>
      </c>
      <c r="M8" s="18">
        <f t="shared" si="5"/>
        <v>4038313.5739512197</v>
      </c>
      <c r="N8" s="18">
        <f t="shared" si="5"/>
        <v>3803072.0065365857</v>
      </c>
      <c r="O8" s="18">
        <f>IFERROR((SUM(O9:O10)+O13),"x")</f>
        <v>3665847.758878049</v>
      </c>
      <c r="P8" s="41">
        <f t="shared" ref="P8" si="6">IFERROR((SUM(P9:P10)+P13),"x")</f>
        <v>4435420.8517040638</v>
      </c>
      <c r="Q8" s="41">
        <f>IFERROR((SUM(Q9:Q10)+Q13),"x")</f>
        <v>3699578.2373626372</v>
      </c>
      <c r="R8" s="18">
        <f t="shared" ref="R8" si="7">IFERROR((SUM(R9:R10)+R13),"x")</f>
        <v>3514665.2127288175</v>
      </c>
      <c r="S8" s="18">
        <f t="shared" ref="S8" si="8">IFERROR((SUM(S9:S10)+S13),"x")</f>
        <v>3829971.3918534522</v>
      </c>
      <c r="T8" s="18">
        <f t="shared" ref="T8" si="9">IFERROR((SUM(T9:T10)+T13),"x")</f>
        <v>3624301.8263031277</v>
      </c>
      <c r="U8" s="18">
        <f t="shared" ref="U8" si="10">IFERROR((SUM(U9:U10)+U13),"x")</f>
        <v>3753758.1473684218</v>
      </c>
      <c r="V8" s="18">
        <f t="shared" ref="V8:W8" si="11">IFERROR((SUM(V9:V10)+V13),"x")</f>
        <v>4284128.2882074071</v>
      </c>
      <c r="W8" s="18">
        <f t="shared" si="11"/>
        <v>3699147.7809441434</v>
      </c>
      <c r="X8" s="18">
        <f t="shared" ref="X8" si="12">IFERROR((SUM(X9:X10)+X13),"x")</f>
        <v>3193168.0265520094</v>
      </c>
      <c r="Y8" s="18">
        <f t="shared" ref="Y8:AB8" si="13">IFERROR((SUM(Y9:Y10)+Y13),"x")</f>
        <v>4040807.3843022427</v>
      </c>
      <c r="Z8" s="18">
        <f t="shared" si="13"/>
        <v>3615375.3209026032</v>
      </c>
      <c r="AA8" s="18">
        <f t="shared" si="13"/>
        <v>3333869.3734907443</v>
      </c>
      <c r="AB8" s="18">
        <f t="shared" si="13"/>
        <v>3587387.6385167008</v>
      </c>
      <c r="AC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x14ac:dyDescent="0.25">
      <c r="A9" s="16" t="s">
        <v>37</v>
      </c>
      <c r="B9" s="18">
        <f>B11+B12</f>
        <v>2685310</v>
      </c>
      <c r="C9" s="18">
        <f>C11+C12</f>
        <v>2978376</v>
      </c>
      <c r="D9" s="18">
        <f t="shared" ref="D9:V9" si="14">D11+D12</f>
        <v>2559220</v>
      </c>
      <c r="E9" s="18">
        <f t="shared" si="14"/>
        <v>2851454.5454545454</v>
      </c>
      <c r="F9" s="18">
        <f t="shared" si="14"/>
        <v>2833799.3294278397</v>
      </c>
      <c r="G9" s="18">
        <f t="shared" si="14"/>
        <v>2769186.1586689171</v>
      </c>
      <c r="H9" s="18">
        <f t="shared" si="14"/>
        <v>2654557.6169709512</v>
      </c>
      <c r="I9" s="18">
        <f t="shared" si="14"/>
        <v>2573039.3586005829</v>
      </c>
      <c r="J9" s="18">
        <f t="shared" si="14"/>
        <v>2506463.4387351782</v>
      </c>
      <c r="K9" s="18">
        <f t="shared" ref="K9:O9" si="15">K11+K12</f>
        <v>3044075.5211034883</v>
      </c>
      <c r="L9" s="18">
        <f t="shared" si="15"/>
        <v>3015357.827508172</v>
      </c>
      <c r="M9" s="18">
        <f t="shared" si="15"/>
        <v>2957922.4403175404</v>
      </c>
      <c r="N9" s="18">
        <f t="shared" si="15"/>
        <v>2785616.2787456447</v>
      </c>
      <c r="O9" s="18">
        <f t="shared" si="15"/>
        <v>2685104.3511620392</v>
      </c>
      <c r="P9" s="41">
        <f t="shared" si="14"/>
        <v>3250803.2781325951</v>
      </c>
      <c r="Q9" s="41">
        <f t="shared" ref="Q9" si="16">Q11+Q12</f>
        <v>2708945.68288854</v>
      </c>
      <c r="R9" s="18">
        <f t="shared" si="14"/>
        <v>2572779.9799181279</v>
      </c>
      <c r="S9" s="18">
        <f t="shared" si="14"/>
        <v>2806732.9836917911</v>
      </c>
      <c r="T9" s="18">
        <f t="shared" si="14"/>
        <v>2659711.9486768246</v>
      </c>
      <c r="U9" s="18">
        <f t="shared" si="14"/>
        <v>2748790.9774436094</v>
      </c>
      <c r="V9" s="18">
        <f t="shared" si="14"/>
        <v>3140006.1032455135</v>
      </c>
      <c r="W9" s="18">
        <f t="shared" ref="W9:X9" si="17">W11+W12</f>
        <v>2709239.8976024622</v>
      </c>
      <c r="X9" s="18">
        <f t="shared" si="17"/>
        <v>2336648.0313343219</v>
      </c>
      <c r="Y9" s="18">
        <f t="shared" ref="Y9:AB9" si="18">Y11+Y12</f>
        <v>2968451.6821076898</v>
      </c>
      <c r="Z9" s="18">
        <f t="shared" si="18"/>
        <v>2655173.284906188</v>
      </c>
      <c r="AA9" s="18">
        <f t="shared" si="18"/>
        <v>2447878.7728208723</v>
      </c>
      <c r="AB9" s="18">
        <f t="shared" si="18"/>
        <v>2634563.7986131818</v>
      </c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x14ac:dyDescent="0.25">
      <c r="A10" s="16" t="s">
        <v>0</v>
      </c>
      <c r="B10" s="18">
        <f t="shared" ref="B10" si="19">IFERROR(0.358*B9,"x")</f>
        <v>961340.98</v>
      </c>
      <c r="C10" s="18">
        <f t="shared" ref="C10" si="20">IFERROR(0.358*C9,"x")</f>
        <v>1066258.608</v>
      </c>
      <c r="D10" s="18">
        <f t="shared" ref="D10" si="21">IFERROR(0.358*D9,"x")</f>
        <v>916200.76</v>
      </c>
      <c r="E10" s="18">
        <f t="shared" ref="E10" si="22">IFERROR(0.358*E9,"x")</f>
        <v>1020820.7272727272</v>
      </c>
      <c r="F10" s="18">
        <f t="shared" ref="F10" si="23">IFERROR(0.358*F9,"x")</f>
        <v>1014500.1599351666</v>
      </c>
      <c r="G10" s="18">
        <f t="shared" ref="G10:J10" si="24">IFERROR(0.358*G9,"x")</f>
        <v>991368.64480347233</v>
      </c>
      <c r="H10" s="18">
        <f t="shared" si="24"/>
        <v>950331.62687560054</v>
      </c>
      <c r="I10" s="18">
        <f t="shared" si="24"/>
        <v>921148.09037900867</v>
      </c>
      <c r="J10" s="18">
        <f t="shared" si="24"/>
        <v>897313.91106719372</v>
      </c>
      <c r="K10" s="18">
        <f t="shared" ref="K10:O10" si="25">IFERROR(0.358*K9,"x")</f>
        <v>1089779.0365550488</v>
      </c>
      <c r="L10" s="18">
        <f t="shared" si="25"/>
        <v>1079498.1022479255</v>
      </c>
      <c r="M10" s="18">
        <f t="shared" si="25"/>
        <v>1058936.2336336793</v>
      </c>
      <c r="N10" s="18">
        <f t="shared" si="25"/>
        <v>997250.62779094081</v>
      </c>
      <c r="O10" s="18">
        <f t="shared" si="25"/>
        <v>961267.35771600995</v>
      </c>
      <c r="P10" s="41">
        <f t="shared" ref="P10" si="26">IFERROR(0.358*P9,"x")</f>
        <v>1163787.5735714689</v>
      </c>
      <c r="Q10" s="41">
        <f>IFERROR(0.358*Q9,"x")</f>
        <v>969802.55447409733</v>
      </c>
      <c r="R10" s="18">
        <f t="shared" ref="R10" si="27">IFERROR(0.358*R9,"x")</f>
        <v>921055.23281068972</v>
      </c>
      <c r="S10" s="18">
        <f t="shared" ref="S10" si="28">IFERROR(0.358*S9,"x")</f>
        <v>1004810.4081616611</v>
      </c>
      <c r="T10" s="18">
        <f t="shared" ref="T10" si="29">IFERROR(0.358*T9,"x")</f>
        <v>952176.87762630312</v>
      </c>
      <c r="U10" s="18">
        <f t="shared" ref="U10" si="30">IFERROR(0.358*U9,"x")</f>
        <v>984067.16992481216</v>
      </c>
      <c r="V10" s="18">
        <f t="shared" ref="V10:W10" si="31">IFERROR(0.358*V9,"x")</f>
        <v>1124122.1849618938</v>
      </c>
      <c r="W10" s="18">
        <f t="shared" si="31"/>
        <v>969907.88334168145</v>
      </c>
      <c r="X10" s="18">
        <f t="shared" ref="X10" si="32">IFERROR(0.358*X9,"x")</f>
        <v>836519.99521768722</v>
      </c>
      <c r="Y10" s="18">
        <f t="shared" ref="Y10:AB10" si="33">IFERROR(0.358*Y9,"x")</f>
        <v>1062705.7021945529</v>
      </c>
      <c r="Z10" s="18">
        <f t="shared" si="33"/>
        <v>950552.0359964153</v>
      </c>
      <c r="AA10" s="18">
        <f t="shared" si="33"/>
        <v>876340.60066987225</v>
      </c>
      <c r="AB10" s="18">
        <f t="shared" si="33"/>
        <v>943173.83990351902</v>
      </c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x14ac:dyDescent="0.25">
      <c r="A11" s="16" t="s">
        <v>38</v>
      </c>
      <c r="B11" s="18">
        <f>IFERROR(12*B15/B14,"x")</f>
        <v>2372400</v>
      </c>
      <c r="C11" s="18">
        <f t="shared" ref="C11:V11" si="34">IFERROR(12*C15/C14,"x")</f>
        <v>2222832</v>
      </c>
      <c r="D11" s="18">
        <f t="shared" si="34"/>
        <v>2012800</v>
      </c>
      <c r="E11" s="18">
        <f t="shared" si="34"/>
        <v>2284254.5454545454</v>
      </c>
      <c r="F11" s="18">
        <f t="shared" si="34"/>
        <v>1729812.7110838196</v>
      </c>
      <c r="G11" s="18">
        <f t="shared" si="34"/>
        <v>1635769.2307692308</v>
      </c>
      <c r="H11" s="18">
        <f t="shared" si="34"/>
        <v>1565521.472392638</v>
      </c>
      <c r="I11" s="18">
        <f t="shared" si="34"/>
        <v>1518928.5714285714</v>
      </c>
      <c r="J11" s="18">
        <f t="shared" si="34"/>
        <v>1479304.3478260871</v>
      </c>
      <c r="K11" s="18">
        <f t="shared" ref="K11:O11" si="35">IFERROR(12*K15/K14,"x")</f>
        <v>2143342.1602787459</v>
      </c>
      <c r="L11" s="18">
        <f t="shared" si="35"/>
        <v>2123121.9512195121</v>
      </c>
      <c r="M11" s="18">
        <f t="shared" si="35"/>
        <v>2082681.5331010455</v>
      </c>
      <c r="N11" s="18">
        <f t="shared" si="35"/>
        <v>1961360.2787456445</v>
      </c>
      <c r="O11" s="18">
        <f t="shared" si="35"/>
        <v>1890589.5470383279</v>
      </c>
      <c r="P11" s="41">
        <f t="shared" si="34"/>
        <v>2412184.6153846155</v>
      </c>
      <c r="Q11" s="41">
        <f t="shared" ref="Q11" si="36">IFERROR(12*Q15/Q14,"x")</f>
        <v>2010153.846153846</v>
      </c>
      <c r="R11" s="18">
        <f t="shared" si="34"/>
        <v>2178495.867768595</v>
      </c>
      <c r="S11" s="18">
        <f t="shared" si="34"/>
        <v>2040176.1467889906</v>
      </c>
      <c r="T11" s="18">
        <f t="shared" si="34"/>
        <v>1827972.4137931035</v>
      </c>
      <c r="U11" s="18">
        <f t="shared" si="34"/>
        <v>2465485.7142857146</v>
      </c>
      <c r="V11" s="18">
        <f t="shared" si="34"/>
        <v>1998001.9980019978</v>
      </c>
      <c r="W11" s="18">
        <f t="shared" ref="W11:X11" si="37">IFERROR(12*W15/W14,"x")</f>
        <v>1723917.7627378367</v>
      </c>
      <c r="X11" s="18">
        <f t="shared" si="37"/>
        <v>1486825.0777829785</v>
      </c>
      <c r="Y11" s="18">
        <f t="shared" ref="Y11:AB11" si="38">IFERROR(12*Y15/Y14,"x")</f>
        <v>1892084.0064620355</v>
      </c>
      <c r="Z11" s="18">
        <f t="shared" si="38"/>
        <v>1827145.0858034322</v>
      </c>
      <c r="AA11" s="18">
        <f t="shared" si="38"/>
        <v>1596945.732206163</v>
      </c>
      <c r="AB11" s="18">
        <f t="shared" si="38"/>
        <v>1756448.7102579486</v>
      </c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x14ac:dyDescent="0.25">
      <c r="A12" s="16" t="s">
        <v>39</v>
      </c>
      <c r="B12" s="18">
        <f>IFERROR(12*B17/B16,"x")</f>
        <v>312910</v>
      </c>
      <c r="C12" s="18">
        <f>IFERROR(12*C17/C16,"x")</f>
        <v>755544</v>
      </c>
      <c r="D12" s="18">
        <f t="shared" ref="D12:V12" si="39">IFERROR(12*D17/D16,"x")</f>
        <v>546420</v>
      </c>
      <c r="E12" s="18">
        <f t="shared" si="39"/>
        <v>567200</v>
      </c>
      <c r="F12" s="18">
        <f t="shared" si="39"/>
        <v>1103986.6183440201</v>
      </c>
      <c r="G12" s="18">
        <f t="shared" si="39"/>
        <v>1133416.9278996864</v>
      </c>
      <c r="H12" s="18">
        <f t="shared" si="39"/>
        <v>1089036.1445783132</v>
      </c>
      <c r="I12" s="18">
        <f t="shared" si="39"/>
        <v>1054110.7871720116</v>
      </c>
      <c r="J12" s="18">
        <f t="shared" si="39"/>
        <v>1027159.0909090909</v>
      </c>
      <c r="K12" s="18">
        <f t="shared" ref="K12:O12" si="40">IFERROR(12*K17/K16,"x")</f>
        <v>900733.36082474235</v>
      </c>
      <c r="L12" s="18">
        <f t="shared" si="40"/>
        <v>892235.87628865987</v>
      </c>
      <c r="M12" s="18">
        <f t="shared" si="40"/>
        <v>875240.9072164949</v>
      </c>
      <c r="N12" s="18">
        <f t="shared" si="40"/>
        <v>824256</v>
      </c>
      <c r="O12" s="18">
        <f t="shared" si="40"/>
        <v>794514.80412371142</v>
      </c>
      <c r="P12" s="41">
        <f t="shared" si="39"/>
        <v>838618.6627479794</v>
      </c>
      <c r="Q12" s="41">
        <f>IFERROR(12*Q17/Q16,"x")</f>
        <v>698791.83673469385</v>
      </c>
      <c r="R12" s="18">
        <f t="shared" si="39"/>
        <v>394284.11214953271</v>
      </c>
      <c r="S12" s="18">
        <f t="shared" si="39"/>
        <v>766556.83690280071</v>
      </c>
      <c r="T12" s="18">
        <f t="shared" si="39"/>
        <v>831739.53488372092</v>
      </c>
      <c r="U12" s="18">
        <f t="shared" si="39"/>
        <v>283305.26315789478</v>
      </c>
      <c r="V12" s="18">
        <f t="shared" si="39"/>
        <v>1142004.1052435157</v>
      </c>
      <c r="W12" s="18">
        <f>IFERROR(12*W17/W16,"x")</f>
        <v>985322.13486462552</v>
      </c>
      <c r="X12" s="18">
        <f t="shared" ref="X12" si="41">IFERROR(12*X17/X16,"x")</f>
        <v>849822.95355134353</v>
      </c>
      <c r="Y12" s="18">
        <f>IFERROR(12*Y17/Y16,"x")</f>
        <v>1076367.6756456541</v>
      </c>
      <c r="Z12" s="18">
        <f t="shared" ref="Z12:AB12" si="42">IFERROR(12*Z17/Z16,"x")</f>
        <v>828028.19910275575</v>
      </c>
      <c r="AA12" s="18">
        <f t="shared" si="42"/>
        <v>850933.04061470903</v>
      </c>
      <c r="AB12" s="18">
        <f t="shared" si="42"/>
        <v>878115.08835523331</v>
      </c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x14ac:dyDescent="0.25">
      <c r="A13" s="16" t="s">
        <v>28</v>
      </c>
      <c r="B13" s="18">
        <v>20800</v>
      </c>
      <c r="C13" s="18">
        <v>36595</v>
      </c>
      <c r="D13" s="18">
        <v>20830</v>
      </c>
      <c r="E13" s="18">
        <v>21850</v>
      </c>
      <c r="F13" s="18">
        <v>20830</v>
      </c>
      <c r="G13" s="18">
        <v>35000</v>
      </c>
      <c r="H13" s="18">
        <v>35000</v>
      </c>
      <c r="I13" s="18">
        <v>35000</v>
      </c>
      <c r="J13" s="18">
        <v>35000</v>
      </c>
      <c r="K13" s="18">
        <f>20830*1.06</f>
        <v>22079.800000000003</v>
      </c>
      <c r="L13" s="18">
        <f>20830*1.05</f>
        <v>21871.5</v>
      </c>
      <c r="M13" s="18">
        <f>20830*1.03</f>
        <v>21454.9</v>
      </c>
      <c r="N13" s="18">
        <f>20830*0.97</f>
        <v>20205.099999999999</v>
      </c>
      <c r="O13" s="18">
        <f>20830*0.935</f>
        <v>19476.050000000003</v>
      </c>
      <c r="P13" s="41">
        <v>20830</v>
      </c>
      <c r="Q13" s="41">
        <v>20830</v>
      </c>
      <c r="R13" s="18">
        <v>20830</v>
      </c>
      <c r="S13" s="18">
        <v>18428</v>
      </c>
      <c r="T13" s="18">
        <v>12413</v>
      </c>
      <c r="U13" s="18">
        <v>20900</v>
      </c>
      <c r="V13" s="18">
        <v>20000</v>
      </c>
      <c r="W13" s="18">
        <v>20000</v>
      </c>
      <c r="X13" s="18">
        <v>20000</v>
      </c>
      <c r="Y13" s="18">
        <v>9650</v>
      </c>
      <c r="Z13" s="18">
        <v>9650</v>
      </c>
      <c r="AA13" s="18">
        <v>9650</v>
      </c>
      <c r="AB13" s="18">
        <v>9650</v>
      </c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s="19" customFormat="1" ht="15" customHeight="1" x14ac:dyDescent="0.25">
      <c r="A14" s="16" t="s">
        <v>31</v>
      </c>
      <c r="B14" s="26">
        <v>0.26</v>
      </c>
      <c r="C14" s="26">
        <v>0.25</v>
      </c>
      <c r="D14" s="26">
        <v>0.3</v>
      </c>
      <c r="E14" s="26">
        <v>0.22</v>
      </c>
      <c r="F14" s="26">
        <v>0.32569999999999999</v>
      </c>
      <c r="G14" s="26">
        <v>0.312</v>
      </c>
      <c r="H14" s="26">
        <v>0.32600000000000001</v>
      </c>
      <c r="I14" s="26">
        <v>0.33600000000000002</v>
      </c>
      <c r="J14" s="26">
        <v>0.34499999999999997</v>
      </c>
      <c r="K14" s="26">
        <f>0.287/1.06</f>
        <v>0.27075471698113202</v>
      </c>
      <c r="L14" s="26">
        <f>0.287/1.05</f>
        <v>0.27333333333333332</v>
      </c>
      <c r="M14" s="26">
        <f>0.287/1.03</f>
        <v>0.27864077669902909</v>
      </c>
      <c r="N14" s="26">
        <f>0.287/0.97</f>
        <v>0.29587628865979382</v>
      </c>
      <c r="O14" s="26">
        <f>0.287/0.935</f>
        <v>0.30695187165775395</v>
      </c>
      <c r="P14" s="42">
        <v>0.22750000000000001</v>
      </c>
      <c r="Q14" s="42">
        <v>0.27300000000000002</v>
      </c>
      <c r="R14" s="26">
        <v>0.24199999999999999</v>
      </c>
      <c r="S14" s="26">
        <v>0.27250000000000002</v>
      </c>
      <c r="T14" s="26">
        <v>0.28999999999999998</v>
      </c>
      <c r="U14" s="26">
        <v>0.245</v>
      </c>
      <c r="V14" s="26">
        <v>0.27027000000000001</v>
      </c>
      <c r="W14" s="26">
        <v>0.31324000000000002</v>
      </c>
      <c r="X14" s="26">
        <v>0.36319000000000001</v>
      </c>
      <c r="Y14" s="26">
        <f>IFERROR((ROUND(AA14/1.185,4)),"x")</f>
        <v>0.3095</v>
      </c>
      <c r="Z14" s="26">
        <f>IFERROR((ROUND(AA14/1.144,4)),"x")</f>
        <v>0.32050000000000001</v>
      </c>
      <c r="AA14" s="26">
        <v>0.36670000000000003</v>
      </c>
      <c r="AB14" s="26">
        <f>IFERROR((ROUND(AA14/1.1,4)),"x")</f>
        <v>0.33339999999999997</v>
      </c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x14ac:dyDescent="0.25">
      <c r="A15" s="16" t="s">
        <v>32</v>
      </c>
      <c r="B15" s="18">
        <v>51402</v>
      </c>
      <c r="C15" s="18">
        <v>46309</v>
      </c>
      <c r="D15" s="18">
        <v>50320</v>
      </c>
      <c r="E15" s="18">
        <v>41878</v>
      </c>
      <c r="F15" s="18">
        <v>46950</v>
      </c>
      <c r="G15" s="18">
        <v>42530</v>
      </c>
      <c r="H15" s="18">
        <v>42530</v>
      </c>
      <c r="I15" s="18">
        <v>42530</v>
      </c>
      <c r="J15" s="18">
        <v>42530</v>
      </c>
      <c r="K15" s="18">
        <v>48360</v>
      </c>
      <c r="L15" s="18">
        <v>48360</v>
      </c>
      <c r="M15" s="18">
        <v>48360</v>
      </c>
      <c r="N15" s="18">
        <v>48360</v>
      </c>
      <c r="O15" s="18">
        <v>48360</v>
      </c>
      <c r="P15" s="41">
        <v>45731</v>
      </c>
      <c r="Q15" s="41">
        <v>45731</v>
      </c>
      <c r="R15" s="18">
        <v>43933</v>
      </c>
      <c r="S15" s="18">
        <v>46329</v>
      </c>
      <c r="T15" s="18">
        <v>44176</v>
      </c>
      <c r="U15" s="18">
        <v>50337</v>
      </c>
      <c r="V15" s="18">
        <v>45000</v>
      </c>
      <c r="W15" s="18">
        <v>45000</v>
      </c>
      <c r="X15" s="18">
        <v>45000</v>
      </c>
      <c r="Y15" s="18">
        <v>48800</v>
      </c>
      <c r="Z15" s="18">
        <v>48800</v>
      </c>
      <c r="AA15" s="18">
        <v>48800</v>
      </c>
      <c r="AB15" s="18">
        <v>48800</v>
      </c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x14ac:dyDescent="0.25">
      <c r="A16" s="16" t="s">
        <v>33</v>
      </c>
      <c r="B16" s="26">
        <v>1.2</v>
      </c>
      <c r="C16" s="26">
        <v>0.5</v>
      </c>
      <c r="D16" s="26">
        <v>0.6</v>
      </c>
      <c r="E16" s="26">
        <v>0.81</v>
      </c>
      <c r="F16" s="26">
        <v>0.35870000000000002</v>
      </c>
      <c r="G16" s="26">
        <v>0.31900000000000001</v>
      </c>
      <c r="H16" s="26">
        <v>0.33200000000000002</v>
      </c>
      <c r="I16" s="26">
        <v>0.34300000000000003</v>
      </c>
      <c r="J16" s="26">
        <v>0.35199999999999998</v>
      </c>
      <c r="K16" s="26">
        <f>0.485/1.06</f>
        <v>0.45754716981132071</v>
      </c>
      <c r="L16" s="26">
        <f>0.485/1.05</f>
        <v>0.46190476190476187</v>
      </c>
      <c r="M16" s="26">
        <f>0.485/1.03</f>
        <v>0.47087378640776695</v>
      </c>
      <c r="N16" s="26">
        <f>0.485/0.97</f>
        <v>0.5</v>
      </c>
      <c r="O16" s="26">
        <f>0.485/0.935</f>
        <v>0.51871657754010692</v>
      </c>
      <c r="P16" s="42">
        <v>0.4083</v>
      </c>
      <c r="Q16" s="42">
        <v>0.49</v>
      </c>
      <c r="R16" s="26">
        <v>1.07</v>
      </c>
      <c r="S16" s="26">
        <v>0.48559999999999998</v>
      </c>
      <c r="T16" s="26">
        <v>0.43</v>
      </c>
      <c r="U16" s="26">
        <v>1.1399999999999999</v>
      </c>
      <c r="V16" s="26">
        <v>0.32153999999999999</v>
      </c>
      <c r="W16" s="26">
        <v>0.37267</v>
      </c>
      <c r="X16" s="26">
        <v>0.43208999999999997</v>
      </c>
      <c r="Y16" s="26">
        <f>IFERROR((ROUND(AA16/1.265,4)),"x")</f>
        <v>0.36009999999999998</v>
      </c>
      <c r="Z16" s="26">
        <f>IFERROR((ROUND(AA16/0.973,4)),"x")</f>
        <v>0.46810000000000002</v>
      </c>
      <c r="AA16" s="26">
        <v>0.45550000000000002</v>
      </c>
      <c r="AB16" s="26">
        <f>IFERROR((ROUND(AA16/1.032,4)),"x")</f>
        <v>0.44140000000000001</v>
      </c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x14ac:dyDescent="0.25">
      <c r="A17" s="16" t="s">
        <v>34</v>
      </c>
      <c r="B17" s="18">
        <v>31291</v>
      </c>
      <c r="C17" s="18">
        <v>31481</v>
      </c>
      <c r="D17" s="18">
        <v>27321</v>
      </c>
      <c r="E17" s="18">
        <v>38286</v>
      </c>
      <c r="F17" s="18">
        <v>33000</v>
      </c>
      <c r="G17" s="18">
        <v>30130</v>
      </c>
      <c r="H17" s="18">
        <v>30130</v>
      </c>
      <c r="I17" s="18">
        <v>30130</v>
      </c>
      <c r="J17" s="18">
        <v>30130</v>
      </c>
      <c r="K17" s="18">
        <v>34344</v>
      </c>
      <c r="L17" s="18">
        <v>34344</v>
      </c>
      <c r="M17" s="18">
        <v>34344</v>
      </c>
      <c r="N17" s="18">
        <v>34344</v>
      </c>
      <c r="O17" s="18">
        <v>34344</v>
      </c>
      <c r="P17" s="41">
        <v>28534</v>
      </c>
      <c r="Q17" s="41">
        <v>28534</v>
      </c>
      <c r="R17" s="18">
        <v>35157</v>
      </c>
      <c r="S17" s="18">
        <v>31020</v>
      </c>
      <c r="T17" s="18">
        <v>29804</v>
      </c>
      <c r="U17" s="18">
        <v>26914</v>
      </c>
      <c r="V17" s="18">
        <v>30600</v>
      </c>
      <c r="W17" s="18">
        <v>30600</v>
      </c>
      <c r="X17" s="18">
        <v>30600</v>
      </c>
      <c r="Y17" s="18">
        <v>32300</v>
      </c>
      <c r="Z17" s="18">
        <v>32300</v>
      </c>
      <c r="AA17" s="18">
        <v>32300</v>
      </c>
      <c r="AB17" s="18">
        <v>32300</v>
      </c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33.75" x14ac:dyDescent="0.25">
      <c r="A18" s="36" t="s">
        <v>47</v>
      </c>
      <c r="B18" s="37">
        <v>1</v>
      </c>
      <c r="C18" s="37">
        <v>1</v>
      </c>
      <c r="D18" s="37">
        <v>1</v>
      </c>
      <c r="E18" s="37">
        <v>1</v>
      </c>
      <c r="F18" s="37">
        <v>1</v>
      </c>
      <c r="G18" s="37">
        <v>1</v>
      </c>
      <c r="H18" s="43"/>
      <c r="I18" s="43"/>
      <c r="J18" s="43"/>
      <c r="K18" s="47">
        <v>5</v>
      </c>
      <c r="L18" s="48"/>
      <c r="M18" s="48"/>
      <c r="N18" s="48"/>
      <c r="O18" s="49"/>
      <c r="P18" s="53">
        <v>2</v>
      </c>
      <c r="Q18" s="54"/>
      <c r="R18" s="37">
        <v>1</v>
      </c>
      <c r="S18" s="37">
        <v>1</v>
      </c>
      <c r="T18" s="37">
        <v>1</v>
      </c>
      <c r="U18" s="37">
        <v>1</v>
      </c>
      <c r="V18" s="50">
        <v>3</v>
      </c>
      <c r="W18" s="51"/>
      <c r="X18" s="51"/>
      <c r="Y18" s="52">
        <v>4</v>
      </c>
      <c r="Z18" s="52"/>
      <c r="AA18" s="52"/>
      <c r="AB18" s="52"/>
    </row>
    <row r="19" spans="1:54" x14ac:dyDescent="0.15">
      <c r="Q19" s="40"/>
    </row>
  </sheetData>
  <mergeCells count="7">
    <mergeCell ref="A1:AB1"/>
    <mergeCell ref="A5:A6"/>
    <mergeCell ref="A2:AB2"/>
    <mergeCell ref="K18:O18"/>
    <mergeCell ref="V18:X18"/>
    <mergeCell ref="Y18:AB18"/>
    <mergeCell ref="P18:Q18"/>
  </mergeCells>
  <phoneticPr fontId="5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54" fitToHeight="0" orientation="landscape" r:id="rId1"/>
  <headerFooter>
    <oddHeader>&amp;LČ.j.: MSMT-5485/2023-1&amp;RPříloha č. 8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A957-AF14-4F95-91EE-8A34628E1BBE}">
  <sheetPr>
    <tabColor theme="8" tint="0.59999389629810485"/>
    <pageSetUpPr fitToPage="1"/>
  </sheetPr>
  <dimension ref="A1:AO28"/>
  <sheetViews>
    <sheetView workbookViewId="0">
      <pane ySplit="6" topLeftCell="A7" activePane="bottomLeft" state="frozen"/>
      <selection activeCell="G24" sqref="G24"/>
      <selection pane="bottomLeft" activeCell="G24" sqref="G24"/>
    </sheetView>
  </sheetViews>
  <sheetFormatPr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3" width="8.5703125" style="17" customWidth="1"/>
    <col min="14" max="15" width="9" style="17" customWidth="1"/>
    <col min="16" max="17" width="9.140625" style="17"/>
    <col min="18" max="32" width="6" style="17" customWidth="1"/>
    <col min="33" max="16384" width="9.140625" style="17"/>
  </cols>
  <sheetData>
    <row r="1" spans="1:41" ht="18.75" x14ac:dyDescent="0.25">
      <c r="A1" s="45" t="str">
        <f>'DD 2023'!A1:AB1</f>
        <v>Krajské normativy v roce 2023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41" ht="18.75" x14ac:dyDescent="0.25">
      <c r="A2" s="45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41" ht="15.7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41" ht="15.75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</row>
    <row r="5" spans="1:41" s="15" customFormat="1" ht="15" customHeight="1" x14ac:dyDescent="0.25">
      <c r="A5" s="46"/>
      <c r="B5" s="1" t="s">
        <v>4</v>
      </c>
      <c r="C5" s="2" t="s">
        <v>5</v>
      </c>
      <c r="D5" s="3" t="s">
        <v>6</v>
      </c>
      <c r="E5" s="4" t="s">
        <v>7</v>
      </c>
      <c r="F5" s="5" t="s">
        <v>8</v>
      </c>
      <c r="G5" s="6" t="s">
        <v>9</v>
      </c>
      <c r="H5" s="7" t="s">
        <v>10</v>
      </c>
      <c r="I5" s="8" t="s">
        <v>11</v>
      </c>
      <c r="J5" s="9" t="s">
        <v>12</v>
      </c>
      <c r="K5" s="10" t="s">
        <v>13</v>
      </c>
      <c r="L5" s="11" t="s">
        <v>14</v>
      </c>
      <c r="M5" s="12" t="s">
        <v>15</v>
      </c>
      <c r="N5" s="13" t="s">
        <v>16</v>
      </c>
      <c r="O5" s="14" t="s">
        <v>17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41" s="15" customFormat="1" ht="71.25" customHeight="1" x14ac:dyDescent="0.25">
      <c r="A6" s="46"/>
      <c r="B6" s="39" t="s">
        <v>18</v>
      </c>
      <c r="C6" s="39" t="s">
        <v>19</v>
      </c>
      <c r="D6" s="39" t="s">
        <v>2</v>
      </c>
      <c r="E6" s="39" t="s">
        <v>3</v>
      </c>
      <c r="F6" s="39" t="s">
        <v>20</v>
      </c>
      <c r="G6" s="39" t="s">
        <v>21</v>
      </c>
      <c r="H6" s="39" t="s">
        <v>22</v>
      </c>
      <c r="I6" s="39" t="s">
        <v>29</v>
      </c>
      <c r="J6" s="39" t="s">
        <v>23</v>
      </c>
      <c r="K6" s="39" t="s">
        <v>24</v>
      </c>
      <c r="L6" s="39" t="s">
        <v>25</v>
      </c>
      <c r="M6" s="39" t="s">
        <v>26</v>
      </c>
      <c r="N6" s="39" t="s">
        <v>27</v>
      </c>
      <c r="O6" s="39" t="s">
        <v>30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41" s="15" customFormat="1" ht="47.25" customHeight="1" x14ac:dyDescent="0.25">
      <c r="A7" s="27" t="s">
        <v>40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44"/>
      <c r="O7" s="33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spans="1:41" x14ac:dyDescent="0.25">
      <c r="A8" s="16" t="s">
        <v>1</v>
      </c>
      <c r="B8" s="23" t="s">
        <v>35</v>
      </c>
      <c r="C8" s="23" t="s">
        <v>35</v>
      </c>
      <c r="D8" s="23" t="s">
        <v>35</v>
      </c>
      <c r="E8" s="23" t="s">
        <v>35</v>
      </c>
      <c r="F8" s="23" t="s">
        <v>35</v>
      </c>
      <c r="G8" s="18">
        <f>SUM(G9:G10)+G13</f>
        <v>3030014.1346153845</v>
      </c>
      <c r="H8" s="23" t="s">
        <v>35</v>
      </c>
      <c r="I8" s="23" t="s">
        <v>35</v>
      </c>
      <c r="J8" s="23" t="s">
        <v>35</v>
      </c>
      <c r="K8" s="23" t="s">
        <v>35</v>
      </c>
      <c r="L8" s="18">
        <f>SUM(L9:L10)+L13</f>
        <v>3624301.8263031277</v>
      </c>
      <c r="M8" s="23" t="s">
        <v>35</v>
      </c>
      <c r="N8" s="24" t="s">
        <v>35</v>
      </c>
      <c r="O8" s="23" t="s">
        <v>35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</row>
    <row r="9" spans="1:41" x14ac:dyDescent="0.25">
      <c r="A9" s="16" t="s">
        <v>37</v>
      </c>
      <c r="B9" s="23" t="s">
        <v>35</v>
      </c>
      <c r="C9" s="23" t="s">
        <v>35</v>
      </c>
      <c r="D9" s="23" t="s">
        <v>35</v>
      </c>
      <c r="E9" s="23" t="s">
        <v>35</v>
      </c>
      <c r="F9" s="23" t="s">
        <v>35</v>
      </c>
      <c r="G9" s="18">
        <f>G11+G12</f>
        <v>2209141.4835164836</v>
      </c>
      <c r="H9" s="23" t="s">
        <v>35</v>
      </c>
      <c r="I9" s="23" t="s">
        <v>35</v>
      </c>
      <c r="J9" s="23" t="s">
        <v>35</v>
      </c>
      <c r="K9" s="23" t="s">
        <v>35</v>
      </c>
      <c r="L9" s="18">
        <f>L11+L12</f>
        <v>2659711.9486768246</v>
      </c>
      <c r="M9" s="23" t="s">
        <v>35</v>
      </c>
      <c r="N9" s="24" t="s">
        <v>35</v>
      </c>
      <c r="O9" s="23" t="s">
        <v>35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</row>
    <row r="10" spans="1:41" x14ac:dyDescent="0.25">
      <c r="A10" s="16" t="s">
        <v>0</v>
      </c>
      <c r="B10" s="23" t="s">
        <v>35</v>
      </c>
      <c r="C10" s="23" t="s">
        <v>35</v>
      </c>
      <c r="D10" s="23" t="s">
        <v>35</v>
      </c>
      <c r="E10" s="23" t="s">
        <v>35</v>
      </c>
      <c r="F10" s="23" t="s">
        <v>35</v>
      </c>
      <c r="G10" s="18">
        <f t="shared" ref="G10:N10" si="0">IFERROR(0.358*G9,"x")</f>
        <v>790872.65109890106</v>
      </c>
      <c r="H10" s="23" t="s">
        <v>35</v>
      </c>
      <c r="I10" s="23" t="s">
        <v>35</v>
      </c>
      <c r="J10" s="23" t="s">
        <v>35</v>
      </c>
      <c r="K10" s="23" t="s">
        <v>35</v>
      </c>
      <c r="L10" s="18">
        <f t="shared" si="0"/>
        <v>952176.87762630312</v>
      </c>
      <c r="M10" s="23" t="s">
        <v>35</v>
      </c>
      <c r="N10" s="24" t="str">
        <f t="shared" si="0"/>
        <v>x</v>
      </c>
      <c r="O10" s="23" t="s">
        <v>35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</row>
    <row r="11" spans="1:41" x14ac:dyDescent="0.25">
      <c r="A11" s="16" t="s">
        <v>38</v>
      </c>
      <c r="B11" s="23" t="s">
        <v>35</v>
      </c>
      <c r="C11" s="23" t="s">
        <v>35</v>
      </c>
      <c r="D11" s="23" t="s">
        <v>35</v>
      </c>
      <c r="E11" s="23" t="s">
        <v>35</v>
      </c>
      <c r="F11" s="23" t="s">
        <v>35</v>
      </c>
      <c r="G11" s="18">
        <f t="shared" ref="G11:N11" si="1">IFERROR(12*G15/G14,"x")</f>
        <v>1402087.9120879122</v>
      </c>
      <c r="H11" s="23" t="s">
        <v>35</v>
      </c>
      <c r="I11" s="23" t="s">
        <v>35</v>
      </c>
      <c r="J11" s="23" t="s">
        <v>35</v>
      </c>
      <c r="K11" s="23" t="s">
        <v>35</v>
      </c>
      <c r="L11" s="18">
        <f t="shared" si="1"/>
        <v>1827972.4137931035</v>
      </c>
      <c r="M11" s="23" t="s">
        <v>35</v>
      </c>
      <c r="N11" s="24" t="str">
        <f t="shared" si="1"/>
        <v>x</v>
      </c>
      <c r="O11" s="23" t="s">
        <v>35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</row>
    <row r="12" spans="1:41" x14ac:dyDescent="0.25">
      <c r="A12" s="16" t="s">
        <v>39</v>
      </c>
      <c r="B12" s="23" t="s">
        <v>35</v>
      </c>
      <c r="C12" s="23" t="s">
        <v>35</v>
      </c>
      <c r="D12" s="23" t="s">
        <v>35</v>
      </c>
      <c r="E12" s="23" t="s">
        <v>35</v>
      </c>
      <c r="F12" s="23" t="s">
        <v>35</v>
      </c>
      <c r="G12" s="18">
        <f t="shared" ref="G12:N12" si="2">IFERROR(12*G17/G16,"x")</f>
        <v>807053.57142857136</v>
      </c>
      <c r="H12" s="23" t="s">
        <v>35</v>
      </c>
      <c r="I12" s="23" t="s">
        <v>35</v>
      </c>
      <c r="J12" s="23" t="s">
        <v>35</v>
      </c>
      <c r="K12" s="23" t="s">
        <v>35</v>
      </c>
      <c r="L12" s="18">
        <f t="shared" si="2"/>
        <v>831739.53488372092</v>
      </c>
      <c r="M12" s="23" t="s">
        <v>35</v>
      </c>
      <c r="N12" s="24" t="str">
        <f t="shared" si="2"/>
        <v>x</v>
      </c>
      <c r="O12" s="23" t="s">
        <v>35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</row>
    <row r="13" spans="1:41" x14ac:dyDescent="0.25">
      <c r="A13" s="16" t="s">
        <v>28</v>
      </c>
      <c r="B13" s="23" t="s">
        <v>35</v>
      </c>
      <c r="C13" s="23" t="s">
        <v>35</v>
      </c>
      <c r="D13" s="23" t="s">
        <v>35</v>
      </c>
      <c r="E13" s="23" t="s">
        <v>35</v>
      </c>
      <c r="F13" s="23" t="s">
        <v>35</v>
      </c>
      <c r="G13" s="18">
        <v>30000</v>
      </c>
      <c r="H13" s="23" t="s">
        <v>35</v>
      </c>
      <c r="I13" s="23" t="s">
        <v>35</v>
      </c>
      <c r="J13" s="23" t="s">
        <v>35</v>
      </c>
      <c r="K13" s="23" t="s">
        <v>35</v>
      </c>
      <c r="L13" s="18">
        <v>12413</v>
      </c>
      <c r="M13" s="23" t="s">
        <v>35</v>
      </c>
      <c r="N13" s="18" t="s">
        <v>35</v>
      </c>
      <c r="O13" s="23" t="s">
        <v>35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</row>
    <row r="14" spans="1:41" s="19" customFormat="1" ht="15" customHeight="1" x14ac:dyDescent="0.25">
      <c r="A14" s="16" t="s">
        <v>31</v>
      </c>
      <c r="B14" s="23" t="s">
        <v>35</v>
      </c>
      <c r="C14" s="23" t="s">
        <v>35</v>
      </c>
      <c r="D14" s="23" t="s">
        <v>35</v>
      </c>
      <c r="E14" s="23" t="s">
        <v>35</v>
      </c>
      <c r="F14" s="23" t="s">
        <v>35</v>
      </c>
      <c r="G14" s="26">
        <v>0.36399999999999999</v>
      </c>
      <c r="H14" s="23" t="s">
        <v>35</v>
      </c>
      <c r="I14" s="23" t="s">
        <v>35</v>
      </c>
      <c r="J14" s="23" t="s">
        <v>35</v>
      </c>
      <c r="K14" s="23" t="s">
        <v>35</v>
      </c>
      <c r="L14" s="26">
        <v>0.28999999999999998</v>
      </c>
      <c r="M14" s="23" t="s">
        <v>35</v>
      </c>
      <c r="N14" s="26" t="s">
        <v>35</v>
      </c>
      <c r="O14" s="23" t="s">
        <v>35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</row>
    <row r="15" spans="1:41" x14ac:dyDescent="0.25">
      <c r="A15" s="16" t="s">
        <v>32</v>
      </c>
      <c r="B15" s="23" t="s">
        <v>35</v>
      </c>
      <c r="C15" s="23" t="s">
        <v>35</v>
      </c>
      <c r="D15" s="23" t="s">
        <v>35</v>
      </c>
      <c r="E15" s="23" t="s">
        <v>35</v>
      </c>
      <c r="F15" s="23" t="s">
        <v>35</v>
      </c>
      <c r="G15" s="18">
        <v>42530</v>
      </c>
      <c r="H15" s="23" t="s">
        <v>35</v>
      </c>
      <c r="I15" s="23" t="s">
        <v>35</v>
      </c>
      <c r="J15" s="23" t="s">
        <v>35</v>
      </c>
      <c r="K15" s="23" t="s">
        <v>35</v>
      </c>
      <c r="L15" s="18">
        <v>44176</v>
      </c>
      <c r="M15" s="23" t="s">
        <v>35</v>
      </c>
      <c r="N15" s="18" t="s">
        <v>35</v>
      </c>
      <c r="O15" s="23" t="s">
        <v>35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</row>
    <row r="16" spans="1:41" x14ac:dyDescent="0.25">
      <c r="A16" s="16" t="s">
        <v>33</v>
      </c>
      <c r="B16" s="23" t="s">
        <v>35</v>
      </c>
      <c r="C16" s="23" t="s">
        <v>35</v>
      </c>
      <c r="D16" s="23" t="s">
        <v>35</v>
      </c>
      <c r="E16" s="23" t="s">
        <v>35</v>
      </c>
      <c r="F16" s="23" t="s">
        <v>35</v>
      </c>
      <c r="G16" s="26">
        <v>0.44800000000000001</v>
      </c>
      <c r="H16" s="23" t="s">
        <v>35</v>
      </c>
      <c r="I16" s="23" t="s">
        <v>35</v>
      </c>
      <c r="J16" s="23" t="s">
        <v>35</v>
      </c>
      <c r="K16" s="23" t="s">
        <v>35</v>
      </c>
      <c r="L16" s="26">
        <v>0.43</v>
      </c>
      <c r="M16" s="23" t="s">
        <v>35</v>
      </c>
      <c r="N16" s="26" t="s">
        <v>35</v>
      </c>
      <c r="O16" s="23" t="s">
        <v>35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</row>
    <row r="17" spans="1:41" x14ac:dyDescent="0.25">
      <c r="A17" s="16" t="s">
        <v>34</v>
      </c>
      <c r="B17" s="23" t="s">
        <v>35</v>
      </c>
      <c r="C17" s="23" t="s">
        <v>35</v>
      </c>
      <c r="D17" s="23" t="s">
        <v>35</v>
      </c>
      <c r="E17" s="23" t="s">
        <v>35</v>
      </c>
      <c r="F17" s="23" t="s">
        <v>35</v>
      </c>
      <c r="G17" s="18">
        <v>30130</v>
      </c>
      <c r="H17" s="23" t="s">
        <v>35</v>
      </c>
      <c r="I17" s="23" t="s">
        <v>35</v>
      </c>
      <c r="J17" s="23" t="s">
        <v>35</v>
      </c>
      <c r="K17" s="23" t="s">
        <v>35</v>
      </c>
      <c r="L17" s="18">
        <v>29804</v>
      </c>
      <c r="M17" s="23" t="s">
        <v>35</v>
      </c>
      <c r="N17" s="18" t="s">
        <v>35</v>
      </c>
      <c r="O17" s="23" t="s">
        <v>35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</row>
    <row r="18" spans="1:41" x14ac:dyDescent="0.25">
      <c r="A18" s="20"/>
      <c r="B18" s="20"/>
      <c r="C18" s="20"/>
      <c r="D18" s="20"/>
      <c r="E18" s="20"/>
      <c r="F18" s="20"/>
      <c r="G18" s="20"/>
      <c r="H18" s="21"/>
      <c r="I18" s="20"/>
      <c r="J18" s="20"/>
      <c r="K18" s="20"/>
      <c r="L18" s="20"/>
      <c r="M18" s="20"/>
      <c r="N18" s="20"/>
      <c r="O18" s="21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</row>
    <row r="20" spans="1:41" x14ac:dyDescent="0.25">
      <c r="N20" s="34"/>
    </row>
    <row r="21" spans="1:41" x14ac:dyDescent="0.25">
      <c r="N21" s="34"/>
    </row>
    <row r="22" spans="1:41" x14ac:dyDescent="0.25">
      <c r="N22" s="34"/>
    </row>
    <row r="23" spans="1:41" x14ac:dyDescent="0.25">
      <c r="N23" s="34"/>
    </row>
    <row r="24" spans="1:41" x14ac:dyDescent="0.25">
      <c r="N24" s="34"/>
    </row>
    <row r="25" spans="1:41" x14ac:dyDescent="0.25">
      <c r="N25" s="35"/>
    </row>
    <row r="26" spans="1:41" x14ac:dyDescent="0.25">
      <c r="N26" s="34"/>
    </row>
    <row r="27" spans="1:41" x14ac:dyDescent="0.25">
      <c r="N27" s="35"/>
    </row>
    <row r="28" spans="1:41" x14ac:dyDescent="0.25">
      <c r="N28" s="34"/>
    </row>
  </sheetData>
  <mergeCells count="3">
    <mergeCell ref="A1:O1"/>
    <mergeCell ref="A5:A6"/>
    <mergeCell ref="A2:O2"/>
  </mergeCells>
  <printOptions horizontalCentered="1"/>
  <pageMargins left="0.39370078740157483" right="0.39370078740157483" top="0.55118110236220474" bottom="0.55118110236220474" header="0.31496062992125984" footer="0.31496062992125984"/>
  <pageSetup paperSize="9" fitToHeight="0" orientation="landscape" r:id="rId1"/>
  <headerFooter>
    <oddHeader>&amp;LČ.j.: MSMT-5485/2023-1&amp;RPříloha č. 8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titul</vt:lpstr>
      <vt:lpstr>DD 2023</vt:lpstr>
      <vt:lpstr>DD se školou 2023</vt:lpstr>
      <vt:lpstr>'DD 2023'!Názvy_tisku</vt:lpstr>
      <vt:lpstr>'DD se školou 2023'!Názvy_tisku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2023-01-20T12:48:22Z</cp:lastPrinted>
  <dcterms:created xsi:type="dcterms:W3CDTF">2013-04-19T07:05:39Z</dcterms:created>
  <dcterms:modified xsi:type="dcterms:W3CDTF">2023-10-11T08:41:50Z</dcterms:modified>
</cp:coreProperties>
</file>