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valasekp\Documents\1. Pracovní\2025\Rozpočet 2025\Rozpočet - verze na web\"/>
    </mc:Choice>
  </mc:AlternateContent>
  <xr:revisionPtr revIDLastSave="0" documentId="13_ncr:1_{5C733A1B-D4D7-4B9D-A548-FB2ABAD5CC36}" xr6:coauthVersionLast="47" xr6:coauthVersionMax="47" xr10:uidLastSave="{00000000-0000-0000-0000-000000000000}"/>
  <bookViews>
    <workbookView xWindow="28680" yWindow="-120" windowWidth="29040" windowHeight="15720" tabRatio="897" firstSheet="6" activeTab="15" xr2:uid="{00000000-000D-0000-FFFF-FFFF00000000}"/>
  </bookViews>
  <sheets>
    <sheet name="0 Seznam" sheetId="32" r:id="rId1"/>
    <sheet name="1 Bilance" sheetId="31" r:id="rId2"/>
    <sheet name="2a Výkonová část segment 1" sheetId="15" r:id="rId3"/>
    <sheet name="2b Výkonová část segment 2" sheetId="16" r:id="rId4"/>
    <sheet name="2c Výkonová část segment 3" sheetId="17" r:id="rId5"/>
    <sheet name="2d Výkonová část segment 4" sheetId="18" r:id="rId6"/>
    <sheet name="3a Ukazatel P - lékařské fakult" sheetId="34" r:id="rId7"/>
    <sheet name="3b Ukazatel P - VETUNI" sheetId="20" r:id="rId8"/>
    <sheet name="4 RO I" sheetId="10" r:id="rId9"/>
    <sheet name="5 Ukazatel C" sheetId="12" r:id="rId10"/>
    <sheet name="6 Ukazatel J" sheetId="19" r:id="rId11"/>
    <sheet name="7 Ukazatel U" sheetId="13" r:id="rId12"/>
    <sheet name="8 Ukazatel I" sheetId="26" r:id="rId13"/>
    <sheet name="9 Fond umělecké činnosti" sheetId="27" r:id="rId14"/>
    <sheet name="10a Ukazatel F - U3V" sheetId="21" r:id="rId15"/>
    <sheet name="10b Ukazatel F - SSP" sheetId="22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31" l="1"/>
  <c r="J18" i="31"/>
  <c r="J35" i="31"/>
  <c r="J56" i="31"/>
  <c r="J55" i="31"/>
  <c r="J53" i="31"/>
  <c r="J52" i="31"/>
  <c r="J51" i="31"/>
  <c r="J50" i="31"/>
  <c r="J49" i="31"/>
  <c r="J48" i="31"/>
  <c r="P52" i="31"/>
  <c r="P51" i="31"/>
  <c r="P50" i="31"/>
  <c r="Q48" i="31"/>
  <c r="Q35" i="31"/>
  <c r="O42" i="31"/>
  <c r="O57" i="31" s="1"/>
  <c r="D20" i="12"/>
  <c r="D34" i="12" l="1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19" i="12"/>
  <c r="D18" i="12"/>
  <c r="D17" i="12"/>
  <c r="D16" i="12"/>
  <c r="D15" i="12"/>
  <c r="D14" i="12"/>
  <c r="D13" i="12"/>
  <c r="D12" i="12"/>
  <c r="D11" i="12"/>
  <c r="D10" i="12"/>
  <c r="D9" i="12"/>
  <c r="L40" i="10"/>
  <c r="L39" i="10"/>
  <c r="L38" i="10"/>
  <c r="L37" i="10"/>
  <c r="L36" i="10"/>
  <c r="L35" i="10"/>
  <c r="L34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O68" i="31"/>
  <c r="O69" i="31"/>
  <c r="I33" i="26"/>
  <c r="H33" i="26"/>
  <c r="E22" i="22"/>
  <c r="E12" i="21" l="1"/>
  <c r="J16" i="27" l="1"/>
  <c r="J15" i="27"/>
  <c r="G38" i="19" l="1"/>
  <c r="D33" i="19"/>
  <c r="C33" i="19"/>
  <c r="E32" i="19"/>
  <c r="F32" i="19" s="1"/>
  <c r="G32" i="19" s="1"/>
  <c r="F31" i="19"/>
  <c r="G31" i="19" s="1"/>
  <c r="E31" i="19"/>
  <c r="E30" i="19"/>
  <c r="F30" i="19" s="1"/>
  <c r="G30" i="19" s="1"/>
  <c r="E29" i="19"/>
  <c r="F29" i="19" s="1"/>
  <c r="G29" i="19" s="1"/>
  <c r="E28" i="19"/>
  <c r="F28" i="19" s="1"/>
  <c r="G28" i="19" s="1"/>
  <c r="F27" i="19"/>
  <c r="G27" i="19" s="1"/>
  <c r="E27" i="19"/>
  <c r="E26" i="19"/>
  <c r="F26" i="19" s="1"/>
  <c r="G26" i="19" s="1"/>
  <c r="E25" i="19"/>
  <c r="F25" i="19" s="1"/>
  <c r="G25" i="19" s="1"/>
  <c r="E24" i="19"/>
  <c r="F24" i="19" s="1"/>
  <c r="G24" i="19" s="1"/>
  <c r="F23" i="19"/>
  <c r="G23" i="19" s="1"/>
  <c r="E23" i="19"/>
  <c r="E22" i="19"/>
  <c r="F22" i="19" s="1"/>
  <c r="G22" i="19" s="1"/>
  <c r="E21" i="19"/>
  <c r="F21" i="19" s="1"/>
  <c r="G21" i="19" s="1"/>
  <c r="E20" i="19"/>
  <c r="F20" i="19" s="1"/>
  <c r="G20" i="19" s="1"/>
  <c r="F19" i="19"/>
  <c r="G19" i="19" s="1"/>
  <c r="E19" i="19"/>
  <c r="E18" i="19"/>
  <c r="F18" i="19" s="1"/>
  <c r="G18" i="19" s="1"/>
  <c r="E17" i="19"/>
  <c r="F17" i="19" s="1"/>
  <c r="G17" i="19" s="1"/>
  <c r="E16" i="19"/>
  <c r="F16" i="19" s="1"/>
  <c r="G16" i="19" s="1"/>
  <c r="F15" i="19"/>
  <c r="G15" i="19" s="1"/>
  <c r="E15" i="19"/>
  <c r="E14" i="19"/>
  <c r="F14" i="19" s="1"/>
  <c r="G14" i="19" s="1"/>
  <c r="E13" i="19"/>
  <c r="F13" i="19" s="1"/>
  <c r="G13" i="19" s="1"/>
  <c r="E12" i="19"/>
  <c r="F12" i="19" s="1"/>
  <c r="G12" i="19" s="1"/>
  <c r="F11" i="19"/>
  <c r="G11" i="19" s="1"/>
  <c r="E11" i="19"/>
  <c r="E10" i="19"/>
  <c r="F10" i="19" s="1"/>
  <c r="G10" i="19" s="1"/>
  <c r="E9" i="19"/>
  <c r="F9" i="19" s="1"/>
  <c r="G9" i="19" s="1"/>
  <c r="E8" i="19"/>
  <c r="F8" i="19" s="1"/>
  <c r="G8" i="19" s="1"/>
  <c r="F7" i="19"/>
  <c r="G7" i="19" s="1"/>
  <c r="E7" i="19"/>
  <c r="E33" i="19" l="1"/>
  <c r="G33" i="19"/>
  <c r="G37" i="19" s="1"/>
  <c r="G39" i="19" s="1"/>
  <c r="F33" i="19"/>
  <c r="H17" i="10" l="1"/>
  <c r="H29" i="10"/>
  <c r="D34" i="10"/>
  <c r="H22" i="10"/>
  <c r="D10" i="13" l="1"/>
  <c r="C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43" i="13" s="1"/>
  <c r="D7" i="13"/>
  <c r="C7" i="10" l="1"/>
  <c r="J20" i="10"/>
  <c r="G29" i="10"/>
  <c r="G24" i="10"/>
  <c r="G19" i="10"/>
  <c r="G18" i="10"/>
  <c r="G15" i="10"/>
  <c r="U39" i="18"/>
  <c r="S39" i="18"/>
  <c r="T38" i="18" s="1"/>
  <c r="T10" i="18" s="1"/>
  <c r="V38" i="18"/>
  <c r="V37" i="18"/>
  <c r="T37" i="18"/>
  <c r="T9" i="18" s="1"/>
  <c r="V36" i="18"/>
  <c r="V35" i="18"/>
  <c r="T35" i="18"/>
  <c r="V34" i="18"/>
  <c r="V39" i="18" s="1"/>
  <c r="U32" i="18"/>
  <c r="V31" i="18" s="1"/>
  <c r="V10" i="18" s="1"/>
  <c r="S32" i="18"/>
  <c r="K32" i="18"/>
  <c r="L29" i="18" s="1"/>
  <c r="F32" i="18"/>
  <c r="E32" i="18"/>
  <c r="T31" i="18"/>
  <c r="G31" i="18"/>
  <c r="T30" i="18"/>
  <c r="L30" i="18"/>
  <c r="L9" i="18" s="1"/>
  <c r="G30" i="18"/>
  <c r="T29" i="18"/>
  <c r="G29" i="18"/>
  <c r="V28" i="18"/>
  <c r="T28" i="18"/>
  <c r="G28" i="18"/>
  <c r="H28" i="18" s="1"/>
  <c r="T27" i="18"/>
  <c r="T32" i="18" s="1"/>
  <c r="G27" i="18"/>
  <c r="G32" i="18" s="1"/>
  <c r="U25" i="18"/>
  <c r="S25" i="18"/>
  <c r="K25" i="18"/>
  <c r="L24" i="18" s="1"/>
  <c r="F25" i="18"/>
  <c r="E25" i="18"/>
  <c r="V24" i="18"/>
  <c r="T24" i="18"/>
  <c r="G24" i="18"/>
  <c r="V23" i="18"/>
  <c r="T23" i="18"/>
  <c r="L23" i="18"/>
  <c r="G23" i="18"/>
  <c r="V22" i="18"/>
  <c r="T22" i="18"/>
  <c r="L22" i="18"/>
  <c r="G22" i="18"/>
  <c r="V21" i="18"/>
  <c r="T21" i="18"/>
  <c r="T7" i="18" s="1"/>
  <c r="L21" i="18"/>
  <c r="G21" i="18"/>
  <c r="V20" i="18"/>
  <c r="V25" i="18" s="1"/>
  <c r="T20" i="18"/>
  <c r="L20" i="18"/>
  <c r="L25" i="18" s="1"/>
  <c r="G20" i="18"/>
  <c r="G25" i="18" s="1"/>
  <c r="R18" i="18"/>
  <c r="O18" i="18"/>
  <c r="N18" i="18"/>
  <c r="M18" i="18"/>
  <c r="K18" i="18"/>
  <c r="I18" i="18"/>
  <c r="F18" i="18"/>
  <c r="E18" i="18"/>
  <c r="C18" i="18"/>
  <c r="P17" i="18"/>
  <c r="P10" i="18" s="1"/>
  <c r="L17" i="18"/>
  <c r="J17" i="18"/>
  <c r="G17" i="18"/>
  <c r="D17" i="18"/>
  <c r="P16" i="18"/>
  <c r="L16" i="18"/>
  <c r="J16" i="18"/>
  <c r="J9" i="18" s="1"/>
  <c r="G16" i="18"/>
  <c r="H16" i="18" s="1"/>
  <c r="D16" i="18"/>
  <c r="P15" i="18"/>
  <c r="P8" i="18" s="1"/>
  <c r="L15" i="18"/>
  <c r="J15" i="18"/>
  <c r="G15" i="18"/>
  <c r="H15" i="18" s="1"/>
  <c r="D15" i="18"/>
  <c r="P14" i="18"/>
  <c r="L14" i="18"/>
  <c r="J14" i="18"/>
  <c r="J7" i="18" s="1"/>
  <c r="G14" i="18"/>
  <c r="D14" i="18"/>
  <c r="P13" i="18"/>
  <c r="P18" i="18" s="1"/>
  <c r="L13" i="18"/>
  <c r="L18" i="18" s="1"/>
  <c r="J13" i="18"/>
  <c r="G13" i="18"/>
  <c r="G18" i="18" s="1"/>
  <c r="H14" i="18" s="1"/>
  <c r="D13" i="18"/>
  <c r="D18" i="18" s="1"/>
  <c r="R10" i="18"/>
  <c r="N10" i="18"/>
  <c r="J10" i="18"/>
  <c r="D10" i="18"/>
  <c r="R9" i="18"/>
  <c r="P9" i="18"/>
  <c r="N9" i="18"/>
  <c r="D9" i="18"/>
  <c r="R8" i="18"/>
  <c r="N8" i="18"/>
  <c r="J8" i="18"/>
  <c r="D8" i="18"/>
  <c r="V7" i="18"/>
  <c r="R7" i="18"/>
  <c r="P7" i="18"/>
  <c r="N7" i="18"/>
  <c r="D7" i="18"/>
  <c r="R6" i="18"/>
  <c r="R11" i="18" s="1"/>
  <c r="N6" i="18"/>
  <c r="N11" i="18" s="1"/>
  <c r="J6" i="18"/>
  <c r="J11" i="18" s="1"/>
  <c r="D6" i="18"/>
  <c r="W3" i="18"/>
  <c r="G34" i="10"/>
  <c r="G33" i="10"/>
  <c r="G32" i="10"/>
  <c r="G31" i="10"/>
  <c r="G30" i="10"/>
  <c r="G28" i="10"/>
  <c r="G27" i="10"/>
  <c r="G26" i="10"/>
  <c r="G25" i="10"/>
  <c r="G23" i="10"/>
  <c r="G22" i="10"/>
  <c r="G21" i="10"/>
  <c r="G20" i="10"/>
  <c r="G17" i="10"/>
  <c r="G16" i="10"/>
  <c r="U89" i="17"/>
  <c r="S89" i="17"/>
  <c r="V88" i="17"/>
  <c r="V87" i="17"/>
  <c r="V86" i="17"/>
  <c r="V85" i="17"/>
  <c r="V17" i="17" s="1"/>
  <c r="V84" i="17"/>
  <c r="V83" i="17"/>
  <c r="T83" i="17"/>
  <c r="V82" i="17"/>
  <c r="V81" i="17"/>
  <c r="T81" i="17"/>
  <c r="V80" i="17"/>
  <c r="V79" i="17"/>
  <c r="V78" i="17"/>
  <c r="V77" i="17"/>
  <c r="V9" i="17" s="1"/>
  <c r="V76" i="17"/>
  <c r="V75" i="17"/>
  <c r="T75" i="17"/>
  <c r="V74" i="17"/>
  <c r="U72" i="17"/>
  <c r="S72" i="17"/>
  <c r="K72" i="17"/>
  <c r="F72" i="17"/>
  <c r="E72" i="17"/>
  <c r="T71" i="17"/>
  <c r="L71" i="17"/>
  <c r="G71" i="17"/>
  <c r="T70" i="17"/>
  <c r="L70" i="17"/>
  <c r="G70" i="17"/>
  <c r="V69" i="17"/>
  <c r="V18" i="17" s="1"/>
  <c r="T69" i="17"/>
  <c r="G69" i="17"/>
  <c r="V68" i="17"/>
  <c r="T68" i="17"/>
  <c r="G68" i="17"/>
  <c r="T67" i="17"/>
  <c r="L67" i="17"/>
  <c r="G67" i="17"/>
  <c r="T66" i="17"/>
  <c r="L66" i="17"/>
  <c r="G66" i="17"/>
  <c r="T65" i="17"/>
  <c r="G65" i="17"/>
  <c r="T64" i="17"/>
  <c r="G64" i="17"/>
  <c r="T63" i="17"/>
  <c r="L63" i="17"/>
  <c r="G63" i="17"/>
  <c r="T62" i="17"/>
  <c r="L62" i="17"/>
  <c r="G62" i="17"/>
  <c r="V61" i="17"/>
  <c r="V10" i="17" s="1"/>
  <c r="T61" i="17"/>
  <c r="G61" i="17"/>
  <c r="V60" i="17"/>
  <c r="T60" i="17"/>
  <c r="G60" i="17"/>
  <c r="T59" i="17"/>
  <c r="L59" i="17"/>
  <c r="G59" i="17"/>
  <c r="T58" i="17"/>
  <c r="L58" i="17"/>
  <c r="G58" i="17"/>
  <c r="T57" i="17"/>
  <c r="T72" i="17" s="1"/>
  <c r="G57" i="17"/>
  <c r="U55" i="17"/>
  <c r="S55" i="17"/>
  <c r="L55" i="17"/>
  <c r="K55" i="17"/>
  <c r="F55" i="17"/>
  <c r="E55" i="17"/>
  <c r="V54" i="17"/>
  <c r="L54" i="17"/>
  <c r="G54" i="17"/>
  <c r="V53" i="17"/>
  <c r="L53" i="17"/>
  <c r="G53" i="17"/>
  <c r="V52" i="17"/>
  <c r="L52" i="17"/>
  <c r="G52" i="17"/>
  <c r="V51" i="17"/>
  <c r="L51" i="17"/>
  <c r="G51" i="17"/>
  <c r="V50" i="17"/>
  <c r="L50" i="17"/>
  <c r="G50" i="17"/>
  <c r="V49" i="17"/>
  <c r="L49" i="17"/>
  <c r="G49" i="17"/>
  <c r="V48" i="17"/>
  <c r="L48" i="17"/>
  <c r="G48" i="17"/>
  <c r="V47" i="17"/>
  <c r="L47" i="17"/>
  <c r="G47" i="17"/>
  <c r="V46" i="17"/>
  <c r="L46" i="17"/>
  <c r="G46" i="17"/>
  <c r="V45" i="17"/>
  <c r="L45" i="17"/>
  <c r="G45" i="17"/>
  <c r="V44" i="17"/>
  <c r="L44" i="17"/>
  <c r="G44" i="17"/>
  <c r="V43" i="17"/>
  <c r="L43" i="17"/>
  <c r="G43" i="17"/>
  <c r="V42" i="17"/>
  <c r="L42" i="17"/>
  <c r="G42" i="17"/>
  <c r="V41" i="17"/>
  <c r="L41" i="17"/>
  <c r="G41" i="17"/>
  <c r="V40" i="17"/>
  <c r="V55" i="17" s="1"/>
  <c r="L40" i="17"/>
  <c r="G40" i="17"/>
  <c r="G55" i="17" s="1"/>
  <c r="R38" i="17"/>
  <c r="Q38" i="17"/>
  <c r="O38" i="17"/>
  <c r="N38" i="17"/>
  <c r="K38" i="17"/>
  <c r="J38" i="17"/>
  <c r="I38" i="17"/>
  <c r="F38" i="17"/>
  <c r="E38" i="17"/>
  <c r="C38" i="17"/>
  <c r="J37" i="17"/>
  <c r="G37" i="17"/>
  <c r="H37" i="17" s="1"/>
  <c r="J36" i="17"/>
  <c r="J19" i="17" s="1"/>
  <c r="G36" i="17"/>
  <c r="D36" i="17"/>
  <c r="D19" i="17" s="1"/>
  <c r="J35" i="17"/>
  <c r="G35" i="17"/>
  <c r="H35" i="17" s="1"/>
  <c r="J34" i="17"/>
  <c r="J17" i="17" s="1"/>
  <c r="G34" i="17"/>
  <c r="D34" i="17"/>
  <c r="J33" i="17"/>
  <c r="G33" i="17"/>
  <c r="H33" i="17" s="1"/>
  <c r="J32" i="17"/>
  <c r="J15" i="17" s="1"/>
  <c r="G32" i="17"/>
  <c r="D32" i="17"/>
  <c r="D15" i="17" s="1"/>
  <c r="J31" i="17"/>
  <c r="G31" i="17"/>
  <c r="J30" i="17"/>
  <c r="J13" i="17" s="1"/>
  <c r="G30" i="17"/>
  <c r="D30" i="17"/>
  <c r="D13" i="17" s="1"/>
  <c r="J29" i="17"/>
  <c r="G29" i="17"/>
  <c r="H29" i="17" s="1"/>
  <c r="J28" i="17"/>
  <c r="J11" i="17" s="1"/>
  <c r="G28" i="17"/>
  <c r="D28" i="17"/>
  <c r="D11" i="17" s="1"/>
  <c r="J27" i="17"/>
  <c r="G27" i="17"/>
  <c r="H27" i="17" s="1"/>
  <c r="J26" i="17"/>
  <c r="J9" i="17" s="1"/>
  <c r="G26" i="17"/>
  <c r="D26" i="17"/>
  <c r="J25" i="17"/>
  <c r="G25" i="17"/>
  <c r="H25" i="17" s="1"/>
  <c r="J24" i="17"/>
  <c r="J7" i="17" s="1"/>
  <c r="G24" i="17"/>
  <c r="D24" i="17"/>
  <c r="J23" i="17"/>
  <c r="G23" i="17"/>
  <c r="G38" i="17" s="1"/>
  <c r="H36" i="17" s="1"/>
  <c r="R20" i="17"/>
  <c r="N20" i="17"/>
  <c r="J20" i="17"/>
  <c r="R19" i="17"/>
  <c r="N19" i="17"/>
  <c r="R18" i="17"/>
  <c r="N18" i="17"/>
  <c r="J18" i="17"/>
  <c r="R17" i="17"/>
  <c r="N17" i="17"/>
  <c r="D17" i="17"/>
  <c r="R16" i="17"/>
  <c r="N16" i="17"/>
  <c r="J16" i="17"/>
  <c r="R15" i="17"/>
  <c r="N15" i="17"/>
  <c r="R14" i="17"/>
  <c r="N14" i="17"/>
  <c r="J14" i="17"/>
  <c r="R13" i="17"/>
  <c r="N13" i="17"/>
  <c r="N21" i="17" s="1"/>
  <c r="R12" i="17"/>
  <c r="N12" i="17"/>
  <c r="J12" i="17"/>
  <c r="R11" i="17"/>
  <c r="N11" i="17"/>
  <c r="R10" i="17"/>
  <c r="N10" i="17"/>
  <c r="J10" i="17"/>
  <c r="R9" i="17"/>
  <c r="N9" i="17"/>
  <c r="D9" i="17"/>
  <c r="R8" i="17"/>
  <c r="N8" i="17"/>
  <c r="J8" i="17"/>
  <c r="R7" i="17"/>
  <c r="N7" i="17"/>
  <c r="D7" i="17"/>
  <c r="R6" i="17"/>
  <c r="R21" i="17" s="1"/>
  <c r="N6" i="17"/>
  <c r="J6" i="17"/>
  <c r="W3" i="17"/>
  <c r="G40" i="10"/>
  <c r="G39" i="10"/>
  <c r="I20" i="16"/>
  <c r="E20" i="16"/>
  <c r="F19" i="16" s="1"/>
  <c r="J19" i="16"/>
  <c r="J18" i="16"/>
  <c r="J20" i="16" s="1"/>
  <c r="F18" i="16"/>
  <c r="I16" i="16"/>
  <c r="E16" i="16"/>
  <c r="F15" i="16" s="1"/>
  <c r="F7" i="16" s="1"/>
  <c r="J15" i="16"/>
  <c r="J14" i="16"/>
  <c r="J16" i="16" s="1"/>
  <c r="F14" i="16"/>
  <c r="I12" i="16"/>
  <c r="G12" i="16"/>
  <c r="H11" i="16" s="1"/>
  <c r="H7" i="16" s="1"/>
  <c r="E12" i="16"/>
  <c r="C12" i="16"/>
  <c r="J11" i="16"/>
  <c r="J7" i="16" s="1"/>
  <c r="F11" i="16"/>
  <c r="D11" i="16"/>
  <c r="J10" i="16"/>
  <c r="J12" i="16" s="1"/>
  <c r="F10" i="16"/>
  <c r="F12" i="16" s="1"/>
  <c r="D10" i="16"/>
  <c r="D12" i="16" s="1"/>
  <c r="D7" i="16"/>
  <c r="J6" i="16"/>
  <c r="D6" i="16"/>
  <c r="D8" i="16" s="1"/>
  <c r="K3" i="16"/>
  <c r="G38" i="10"/>
  <c r="G37" i="10"/>
  <c r="G36" i="10"/>
  <c r="G35" i="10"/>
  <c r="Q34" i="15"/>
  <c r="R33" i="15"/>
  <c r="R32" i="15"/>
  <c r="R31" i="15"/>
  <c r="R30" i="15"/>
  <c r="R34" i="15" s="1"/>
  <c r="Q28" i="15"/>
  <c r="R27" i="15" s="1"/>
  <c r="I28" i="15"/>
  <c r="E28" i="15"/>
  <c r="D28" i="15"/>
  <c r="C28" i="15"/>
  <c r="J27" i="15"/>
  <c r="E27" i="15"/>
  <c r="F27" i="15" s="1"/>
  <c r="J26" i="15"/>
  <c r="E26" i="15"/>
  <c r="F26" i="15" s="1"/>
  <c r="J25" i="15"/>
  <c r="E25" i="15"/>
  <c r="F25" i="15" s="1"/>
  <c r="J24" i="15"/>
  <c r="J28" i="15" s="1"/>
  <c r="E24" i="15"/>
  <c r="F24" i="15" s="1"/>
  <c r="Q22" i="15"/>
  <c r="R21" i="15" s="1"/>
  <c r="R9" i="15" s="1"/>
  <c r="I22" i="15"/>
  <c r="E22" i="15"/>
  <c r="D22" i="15"/>
  <c r="C22" i="15"/>
  <c r="J21" i="15"/>
  <c r="E21" i="15"/>
  <c r="F21" i="15" s="1"/>
  <c r="J20" i="15"/>
  <c r="E20" i="15"/>
  <c r="F20" i="15" s="1"/>
  <c r="J19" i="15"/>
  <c r="E19" i="15"/>
  <c r="F19" i="15" s="1"/>
  <c r="J18" i="15"/>
  <c r="J22" i="15" s="1"/>
  <c r="E18" i="15"/>
  <c r="F18" i="15" s="1"/>
  <c r="F22" i="15" s="1"/>
  <c r="P16" i="15"/>
  <c r="M16" i="15"/>
  <c r="L16" i="15"/>
  <c r="I16" i="15"/>
  <c r="J14" i="15" s="1"/>
  <c r="J8" i="15" s="1"/>
  <c r="G16" i="15"/>
  <c r="H15" i="15" s="1"/>
  <c r="H9" i="15" s="1"/>
  <c r="D16" i="15"/>
  <c r="C16" i="15"/>
  <c r="N15" i="15"/>
  <c r="N9" i="15" s="1"/>
  <c r="J15" i="15"/>
  <c r="J9" i="15" s="1"/>
  <c r="E15" i="15"/>
  <c r="N14" i="15"/>
  <c r="N8" i="15" s="1"/>
  <c r="H14" i="15"/>
  <c r="E14" i="15"/>
  <c r="N13" i="15"/>
  <c r="H13" i="15"/>
  <c r="E13" i="15"/>
  <c r="N12" i="15"/>
  <c r="H12" i="15"/>
  <c r="E12" i="15"/>
  <c r="P9" i="15"/>
  <c r="L9" i="15"/>
  <c r="P8" i="15"/>
  <c r="L8" i="15"/>
  <c r="H8" i="15"/>
  <c r="P7" i="15"/>
  <c r="N7" i="15"/>
  <c r="L7" i="15"/>
  <c r="H7" i="15"/>
  <c r="P6" i="15"/>
  <c r="P10" i="15" s="1"/>
  <c r="N6" i="15"/>
  <c r="L6" i="15"/>
  <c r="L10" i="15" s="1"/>
  <c r="H6" i="15"/>
  <c r="S3" i="15"/>
  <c r="K41" i="10" l="1"/>
  <c r="H17" i="18"/>
  <c r="H22" i="18"/>
  <c r="H23" i="18"/>
  <c r="H9" i="18" s="1"/>
  <c r="W9" i="18" s="1" a="1"/>
  <c r="W9" i="18" s="1"/>
  <c r="X9" i="18" s="1"/>
  <c r="H21" i="18"/>
  <c r="H7" i="18" s="1"/>
  <c r="W7" i="18" s="1" a="1"/>
  <c r="W7" i="18" s="1"/>
  <c r="X7" i="18" s="1"/>
  <c r="H24" i="18"/>
  <c r="H30" i="18"/>
  <c r="H31" i="18"/>
  <c r="H27" i="18"/>
  <c r="L8" i="18"/>
  <c r="H29" i="18"/>
  <c r="H8" i="18" s="1"/>
  <c r="J18" i="18"/>
  <c r="P6" i="18"/>
  <c r="P11" i="18" s="1"/>
  <c r="H13" i="18"/>
  <c r="H20" i="18"/>
  <c r="H25" i="18" s="1"/>
  <c r="L27" i="18"/>
  <c r="V29" i="18"/>
  <c r="V8" i="18" s="1"/>
  <c r="L31" i="18"/>
  <c r="L10" i="18" s="1"/>
  <c r="D11" i="18"/>
  <c r="T25" i="18"/>
  <c r="L28" i="18"/>
  <c r="L7" i="18" s="1"/>
  <c r="V30" i="18"/>
  <c r="V9" i="18" s="1"/>
  <c r="T34" i="18"/>
  <c r="T36" i="18"/>
  <c r="T8" i="18" s="1"/>
  <c r="V27" i="18"/>
  <c r="H48" i="17"/>
  <c r="H54" i="17"/>
  <c r="H50" i="17"/>
  <c r="H51" i="17"/>
  <c r="H47" i="17"/>
  <c r="H43" i="17"/>
  <c r="H44" i="17"/>
  <c r="H52" i="17"/>
  <c r="H31" i="17"/>
  <c r="D37" i="17"/>
  <c r="D20" i="17" s="1"/>
  <c r="D35" i="17"/>
  <c r="D18" i="17" s="1"/>
  <c r="D33" i="17"/>
  <c r="D16" i="17" s="1"/>
  <c r="D31" i="17"/>
  <c r="D14" i="17" s="1"/>
  <c r="D29" i="17"/>
  <c r="D12" i="17" s="1"/>
  <c r="D27" i="17"/>
  <c r="D10" i="17" s="1"/>
  <c r="D25" i="17"/>
  <c r="D8" i="17" s="1"/>
  <c r="D23" i="17"/>
  <c r="P36" i="17"/>
  <c r="P19" i="17" s="1"/>
  <c r="P34" i="17"/>
  <c r="P17" i="17" s="1"/>
  <c r="P32" i="17"/>
  <c r="P15" i="17" s="1"/>
  <c r="P30" i="17"/>
  <c r="P13" i="17" s="1"/>
  <c r="P28" i="17"/>
  <c r="P11" i="17" s="1"/>
  <c r="P26" i="17"/>
  <c r="P9" i="17" s="1"/>
  <c r="P24" i="17"/>
  <c r="P7" i="17" s="1"/>
  <c r="H41" i="17"/>
  <c r="H42" i="17"/>
  <c r="H45" i="17"/>
  <c r="H46" i="17"/>
  <c r="H49" i="17"/>
  <c r="H53" i="17"/>
  <c r="G72" i="17"/>
  <c r="H60" i="17" s="1"/>
  <c r="H23" i="17"/>
  <c r="H24" i="17"/>
  <c r="H26" i="17"/>
  <c r="H28" i="17"/>
  <c r="H30" i="17"/>
  <c r="H32" i="17"/>
  <c r="H34" i="17"/>
  <c r="H40" i="17"/>
  <c r="T52" i="17"/>
  <c r="T18" i="17" s="1"/>
  <c r="T48" i="17"/>
  <c r="T14" i="17" s="1"/>
  <c r="T44" i="17"/>
  <c r="T40" i="17"/>
  <c r="T51" i="17"/>
  <c r="T17" i="17" s="1"/>
  <c r="T47" i="17"/>
  <c r="T13" i="17" s="1"/>
  <c r="T43" i="17"/>
  <c r="V71" i="17"/>
  <c r="V20" i="17" s="1"/>
  <c r="V67" i="17"/>
  <c r="V16" i="17" s="1"/>
  <c r="V63" i="17"/>
  <c r="V12" i="17" s="1"/>
  <c r="V59" i="17"/>
  <c r="V8" i="17" s="1"/>
  <c r="V70" i="17"/>
  <c r="V19" i="17" s="1"/>
  <c r="V66" i="17"/>
  <c r="V15" i="17" s="1"/>
  <c r="V62" i="17"/>
  <c r="V11" i="17" s="1"/>
  <c r="V58" i="17"/>
  <c r="V7" i="17" s="1"/>
  <c r="T88" i="17"/>
  <c r="T86" i="17"/>
  <c r="T84" i="17"/>
  <c r="T82" i="17"/>
  <c r="T80" i="17"/>
  <c r="T78" i="17"/>
  <c r="T76" i="17"/>
  <c r="T74" i="17"/>
  <c r="L37" i="17"/>
  <c r="L20" i="17" s="1"/>
  <c r="L35" i="17"/>
  <c r="L33" i="17"/>
  <c r="L16" i="17" s="1"/>
  <c r="L31" i="17"/>
  <c r="L14" i="17" s="1"/>
  <c r="L29" i="17"/>
  <c r="L12" i="17" s="1"/>
  <c r="L27" i="17"/>
  <c r="L10" i="17" s="1"/>
  <c r="L25" i="17"/>
  <c r="L8" i="17" s="1"/>
  <c r="L23" i="17"/>
  <c r="T41" i="17"/>
  <c r="T7" i="17" s="1"/>
  <c r="T42" i="17"/>
  <c r="T8" i="17" s="1"/>
  <c r="T45" i="17"/>
  <c r="T46" i="17"/>
  <c r="T49" i="17"/>
  <c r="T15" i="17" s="1"/>
  <c r="T50" i="17"/>
  <c r="T16" i="17" s="1"/>
  <c r="T53" i="17"/>
  <c r="T54" i="17"/>
  <c r="V57" i="17"/>
  <c r="V65" i="17"/>
  <c r="V14" i="17" s="1"/>
  <c r="L69" i="17"/>
  <c r="L65" i="17"/>
  <c r="L61" i="17"/>
  <c r="L57" i="17"/>
  <c r="L68" i="17"/>
  <c r="L64" i="17"/>
  <c r="L60" i="17"/>
  <c r="T79" i="17"/>
  <c r="T87" i="17"/>
  <c r="J21" i="17"/>
  <c r="P23" i="17"/>
  <c r="L24" i="17"/>
  <c r="L7" i="17" s="1"/>
  <c r="P25" i="17"/>
  <c r="P8" i="17" s="1"/>
  <c r="L26" i="17"/>
  <c r="L9" i="17" s="1"/>
  <c r="P27" i="17"/>
  <c r="P10" i="17" s="1"/>
  <c r="L28" i="17"/>
  <c r="L11" i="17" s="1"/>
  <c r="P29" i="17"/>
  <c r="P12" i="17" s="1"/>
  <c r="L30" i="17"/>
  <c r="L13" i="17" s="1"/>
  <c r="P31" i="17"/>
  <c r="P14" i="17" s="1"/>
  <c r="L32" i="17"/>
  <c r="L15" i="17" s="1"/>
  <c r="P33" i="17"/>
  <c r="P16" i="17" s="1"/>
  <c r="L34" i="17"/>
  <c r="P35" i="17"/>
  <c r="P18" i="17" s="1"/>
  <c r="L36" i="17"/>
  <c r="L19" i="17" s="1"/>
  <c r="P37" i="17"/>
  <c r="P20" i="17" s="1"/>
  <c r="V64" i="17"/>
  <c r="V13" i="17" s="1"/>
  <c r="V89" i="17"/>
  <c r="T77" i="17"/>
  <c r="T85" i="17"/>
  <c r="J8" i="16"/>
  <c r="F16" i="16"/>
  <c r="K7" i="16" a="1"/>
  <c r="K7" i="16" s="1"/>
  <c r="L7" i="16" s="1"/>
  <c r="F20" i="16"/>
  <c r="F6" i="16"/>
  <c r="F8" i="16" s="1"/>
  <c r="H10" i="16"/>
  <c r="H10" i="15"/>
  <c r="F28" i="15"/>
  <c r="N10" i="15"/>
  <c r="H16" i="15"/>
  <c r="E16" i="15"/>
  <c r="F13" i="15" s="1"/>
  <c r="F7" i="15" s="1"/>
  <c r="S7" i="15" s="1" a="1"/>
  <c r="S7" i="15" s="1"/>
  <c r="T7" i="15" s="1"/>
  <c r="N16" i="15"/>
  <c r="J12" i="15"/>
  <c r="R18" i="15"/>
  <c r="R19" i="15"/>
  <c r="R7" i="15" s="1"/>
  <c r="R20" i="15"/>
  <c r="R24" i="15"/>
  <c r="R25" i="15"/>
  <c r="R26" i="15"/>
  <c r="J13" i="15"/>
  <c r="J7" i="15" s="1"/>
  <c r="W8" i="18" l="1" a="1"/>
  <c r="W8" i="18" s="1"/>
  <c r="X8" i="18" s="1"/>
  <c r="T6" i="18"/>
  <c r="T11" i="18" s="1"/>
  <c r="T39" i="18"/>
  <c r="H32" i="18"/>
  <c r="H18" i="18"/>
  <c r="H6" i="18"/>
  <c r="H10" i="18"/>
  <c r="W10" i="18" s="1" a="1"/>
  <c r="W10" i="18" s="1"/>
  <c r="X10" i="18" s="1"/>
  <c r="V6" i="18"/>
  <c r="V11" i="18" s="1"/>
  <c r="V32" i="18"/>
  <c r="L6" i="18"/>
  <c r="L11" i="18" s="1"/>
  <c r="L32" i="18"/>
  <c r="H14" i="17"/>
  <c r="W14" i="17" s="1" a="1"/>
  <c r="W14" i="17" s="1"/>
  <c r="X14" i="17" s="1"/>
  <c r="L72" i="17"/>
  <c r="T20" i="17"/>
  <c r="L38" i="17"/>
  <c r="L6" i="17"/>
  <c r="H70" i="17"/>
  <c r="H19" i="17" s="1"/>
  <c r="W19" i="17" s="1" a="1"/>
  <c r="W19" i="17" s="1"/>
  <c r="X19" i="17" s="1"/>
  <c r="H38" i="17"/>
  <c r="H64" i="17"/>
  <c r="H13" i="17" s="1"/>
  <c r="W13" i="17" s="1" a="1"/>
  <c r="W13" i="17" s="1"/>
  <c r="X13" i="17" s="1"/>
  <c r="P6" i="17"/>
  <c r="P21" i="17" s="1"/>
  <c r="P38" i="17"/>
  <c r="T19" i="17"/>
  <c r="T11" i="17"/>
  <c r="H62" i="17"/>
  <c r="T55" i="17"/>
  <c r="T6" i="17"/>
  <c r="H55" i="17"/>
  <c r="H11" i="17"/>
  <c r="H65" i="17"/>
  <c r="D38" i="17"/>
  <c r="D6" i="17"/>
  <c r="H68" i="17"/>
  <c r="V72" i="17"/>
  <c r="V6" i="17"/>
  <c r="V21" i="17" s="1"/>
  <c r="H15" i="17"/>
  <c r="W15" i="17" s="1" a="1"/>
  <c r="W15" i="17" s="1"/>
  <c r="X15" i="17" s="1"/>
  <c r="H66" i="17"/>
  <c r="H67" i="17"/>
  <c r="H16" i="17" s="1"/>
  <c r="W16" i="17" s="1" a="1"/>
  <c r="W16" i="17" s="1"/>
  <c r="X16" i="17" s="1"/>
  <c r="H59" i="17"/>
  <c r="H8" i="17" s="1"/>
  <c r="W8" i="17" s="1" a="1"/>
  <c r="W8" i="17" s="1"/>
  <c r="X8" i="17" s="1"/>
  <c r="H71" i="17"/>
  <c r="H20" i="17" s="1"/>
  <c r="H63" i="17"/>
  <c r="H12" i="17" s="1"/>
  <c r="H69" i="17"/>
  <c r="H18" i="17" s="1"/>
  <c r="W18" i="17" s="1" a="1"/>
  <c r="W18" i="17" s="1"/>
  <c r="X18" i="17" s="1"/>
  <c r="T12" i="17"/>
  <c r="W12" i="17" s="1" a="1"/>
  <c r="W12" i="17" s="1"/>
  <c r="X12" i="17" s="1"/>
  <c r="T89" i="17"/>
  <c r="W20" i="17" a="1"/>
  <c r="W20" i="17" s="1"/>
  <c r="X20" i="17" s="1"/>
  <c r="H58" i="17"/>
  <c r="H7" i="17" s="1"/>
  <c r="W7" i="17" s="1" a="1"/>
  <c r="W7" i="17" s="1"/>
  <c r="X7" i="17" s="1"/>
  <c r="L17" i="17"/>
  <c r="H61" i="17"/>
  <c r="H10" i="17" s="1"/>
  <c r="W10" i="17" s="1" a="1"/>
  <c r="W10" i="17" s="1"/>
  <c r="X10" i="17" s="1"/>
  <c r="L18" i="17"/>
  <c r="T9" i="17"/>
  <c r="T10" i="17"/>
  <c r="H17" i="17"/>
  <c r="W17" i="17" s="1" a="1"/>
  <c r="W17" i="17" s="1"/>
  <c r="X17" i="17" s="1"/>
  <c r="H9" i="17"/>
  <c r="W9" i="17" s="1" a="1"/>
  <c r="W9" i="17" s="1"/>
  <c r="X9" i="17" s="1"/>
  <c r="H57" i="17"/>
  <c r="H6" i="17" s="1"/>
  <c r="H6" i="16"/>
  <c r="H8" i="16" s="1"/>
  <c r="H12" i="16"/>
  <c r="K6" i="16" a="1"/>
  <c r="K6" i="16" s="1"/>
  <c r="R6" i="15"/>
  <c r="R22" i="15"/>
  <c r="F12" i="15"/>
  <c r="R28" i="15"/>
  <c r="J6" i="15"/>
  <c r="J10" i="15" s="1"/>
  <c r="J16" i="15"/>
  <c r="F15" i="15"/>
  <c r="F9" i="15" s="1"/>
  <c r="S9" i="15" s="1" a="1"/>
  <c r="S9" i="15" s="1"/>
  <c r="T9" i="15" s="1"/>
  <c r="R8" i="15"/>
  <c r="F14" i="15"/>
  <c r="F8" i="15" s="1"/>
  <c r="H11" i="18" l="1"/>
  <c r="W6" i="18" a="1"/>
  <c r="W6" i="18" s="1"/>
  <c r="H21" i="17"/>
  <c r="T21" i="17"/>
  <c r="L21" i="17"/>
  <c r="D21" i="17"/>
  <c r="W6" i="17" a="1"/>
  <c r="W6" i="17" s="1"/>
  <c r="H72" i="17"/>
  <c r="W11" i="17" a="1"/>
  <c r="W11" i="17" s="1"/>
  <c r="X11" i="17" s="1"/>
  <c r="K8" i="16"/>
  <c r="L6" i="16"/>
  <c r="L8" i="16" s="1"/>
  <c r="F16" i="15"/>
  <c r="F6" i="15"/>
  <c r="S8" i="15" a="1"/>
  <c r="S8" i="15" s="1"/>
  <c r="T8" i="15" s="1"/>
  <c r="R10" i="15"/>
  <c r="X6" i="18" l="1"/>
  <c r="X11" i="18" s="1"/>
  <c r="W11" i="18"/>
  <c r="W21" i="17"/>
  <c r="X6" i="17"/>
  <c r="X21" i="17" s="1"/>
  <c r="F10" i="15"/>
  <c r="S6" i="15" a="1"/>
  <c r="S6" i="15" s="1"/>
  <c r="T6" i="15" l="1"/>
  <c r="T10" i="15" s="1"/>
  <c r="S10" i="15"/>
  <c r="O32" i="31" l="1"/>
  <c r="N19" i="31"/>
  <c r="K19" i="31"/>
  <c r="J19" i="31"/>
  <c r="J41" i="10" l="1"/>
  <c r="C5" i="12"/>
  <c r="E5" i="22" l="1"/>
  <c r="L69" i="31" l="1"/>
  <c r="L68" i="31"/>
  <c r="I69" i="31"/>
  <c r="I68" i="31"/>
  <c r="H69" i="31"/>
  <c r="H68" i="31"/>
  <c r="N55" i="31"/>
  <c r="N54" i="31"/>
  <c r="N53" i="31"/>
  <c r="N48" i="31"/>
  <c r="C6" i="10" l="1"/>
  <c r="C35" i="12" l="1"/>
  <c r="D35" i="12" l="1"/>
  <c r="H34" i="10" l="1"/>
  <c r="H33" i="10"/>
  <c r="I64" i="31" l="1"/>
  <c r="H42" i="31" l="1"/>
  <c r="I42" i="31"/>
  <c r="L42" i="31" l="1"/>
  <c r="E13" i="34" l="1"/>
  <c r="I21" i="10" s="1"/>
  <c r="E12" i="34"/>
  <c r="I19" i="10" s="1"/>
  <c r="E11" i="34"/>
  <c r="I18" i="10" s="1"/>
  <c r="E10" i="34"/>
  <c r="E9" i="34"/>
  <c r="E8" i="34"/>
  <c r="E7" i="34"/>
  <c r="E6" i="34"/>
  <c r="I15" i="10" s="1"/>
  <c r="D33" i="26" l="1"/>
  <c r="C8" i="10" l="1"/>
  <c r="C9" i="27"/>
  <c r="C5" i="10" l="1"/>
  <c r="D31" i="10" s="1"/>
  <c r="D37" i="22" l="1"/>
  <c r="C37" i="22"/>
  <c r="E23" i="22" l="1"/>
  <c r="E20" i="22"/>
  <c r="E11" i="22"/>
  <c r="E33" i="22"/>
  <c r="E29" i="22"/>
  <c r="E25" i="22"/>
  <c r="E21" i="22"/>
  <c r="E17" i="22"/>
  <c r="E13" i="22"/>
  <c r="E12" i="22"/>
  <c r="E31" i="22"/>
  <c r="E36" i="22"/>
  <c r="E32" i="22"/>
  <c r="E28" i="22"/>
  <c r="E24" i="22"/>
  <c r="E16" i="22"/>
  <c r="E35" i="22"/>
  <c r="E27" i="22"/>
  <c r="E19" i="22"/>
  <c r="E15" i="22"/>
  <c r="E34" i="22"/>
  <c r="E30" i="22"/>
  <c r="E26" i="22"/>
  <c r="E18" i="22"/>
  <c r="E14" i="22"/>
  <c r="E6" i="22"/>
  <c r="D37" i="21"/>
  <c r="E6" i="21" s="1"/>
  <c r="C37" i="21"/>
  <c r="E36" i="21" l="1"/>
  <c r="E32" i="21"/>
  <c r="E28" i="21"/>
  <c r="E24" i="21"/>
  <c r="E20" i="21"/>
  <c r="E16" i="21"/>
  <c r="E25" i="21"/>
  <c r="E35" i="21"/>
  <c r="E31" i="21"/>
  <c r="E27" i="21"/>
  <c r="E23" i="21"/>
  <c r="E19" i="21"/>
  <c r="E15" i="21"/>
  <c r="E11" i="21"/>
  <c r="E29" i="21"/>
  <c r="E17" i="21"/>
  <c r="E13" i="21"/>
  <c r="E34" i="21"/>
  <c r="E30" i="21"/>
  <c r="E26" i="21"/>
  <c r="E22" i="21"/>
  <c r="E18" i="21"/>
  <c r="E14" i="21"/>
  <c r="E33" i="21"/>
  <c r="E21" i="21"/>
  <c r="E37" i="22"/>
  <c r="E37" i="21" l="1"/>
  <c r="D14" i="34"/>
  <c r="E14" i="34" l="1"/>
  <c r="Q55" i="31" l="1"/>
  <c r="E29" i="27" l="1"/>
  <c r="G29" i="27"/>
  <c r="H29" i="27"/>
  <c r="I14" i="27"/>
  <c r="J14" i="27" s="1"/>
  <c r="I17" i="27"/>
  <c r="J17" i="27" s="1"/>
  <c r="I15" i="27"/>
  <c r="I16" i="27"/>
  <c r="I18" i="27"/>
  <c r="J18" i="27" s="1"/>
  <c r="I19" i="27"/>
  <c r="J19" i="27" s="1"/>
  <c r="I20" i="27"/>
  <c r="J20" i="27" s="1"/>
  <c r="I21" i="27"/>
  <c r="J21" i="27" s="1"/>
  <c r="I22" i="27"/>
  <c r="J22" i="27" s="1"/>
  <c r="I23" i="27"/>
  <c r="J23" i="27" s="1"/>
  <c r="I24" i="27"/>
  <c r="J24" i="27" s="1"/>
  <c r="I25" i="27"/>
  <c r="J25" i="27" s="1"/>
  <c r="I26" i="27"/>
  <c r="J26" i="27" s="1"/>
  <c r="I27" i="27"/>
  <c r="J27" i="27" s="1"/>
  <c r="I28" i="27"/>
  <c r="J28" i="27" s="1"/>
  <c r="F29" i="27"/>
  <c r="I13" i="27"/>
  <c r="J13" i="27" s="1"/>
  <c r="I29" i="27" l="1"/>
  <c r="J29" i="27"/>
  <c r="C33" i="26" l="1"/>
  <c r="I41" i="10"/>
  <c r="E41" i="10"/>
  <c r="C41" i="10"/>
  <c r="J58" i="31"/>
  <c r="Q54" i="31"/>
  <c r="K54" i="31"/>
  <c r="J54" i="31"/>
  <c r="Q47" i="31"/>
  <c r="N47" i="31"/>
  <c r="K47" i="31"/>
  <c r="J47" i="31"/>
  <c r="Q46" i="31"/>
  <c r="N46" i="31"/>
  <c r="K46" i="31"/>
  <c r="J46" i="31"/>
  <c r="Q45" i="31"/>
  <c r="N45" i="31"/>
  <c r="K45" i="31"/>
  <c r="J45" i="31"/>
  <c r="Q44" i="31"/>
  <c r="N44" i="31"/>
  <c r="K44" i="31"/>
  <c r="J44" i="31"/>
  <c r="Q41" i="31"/>
  <c r="N41" i="31"/>
  <c r="K41" i="31"/>
  <c r="J41" i="31"/>
  <c r="Q40" i="31"/>
  <c r="N40" i="31"/>
  <c r="K40" i="31"/>
  <c r="J40" i="31"/>
  <c r="O39" i="31"/>
  <c r="L39" i="31"/>
  <c r="L57" i="31" s="1"/>
  <c r="I39" i="31"/>
  <c r="I57" i="31" s="1"/>
  <c r="H39" i="31"/>
  <c r="H57" i="31" s="1"/>
  <c r="Q34" i="31"/>
  <c r="N34" i="31"/>
  <c r="K34" i="31"/>
  <c r="J34" i="31"/>
  <c r="Q33" i="31"/>
  <c r="N33" i="31"/>
  <c r="K33" i="31"/>
  <c r="J33" i="31"/>
  <c r="O36" i="31"/>
  <c r="L36" i="31"/>
  <c r="I36" i="31"/>
  <c r="H36" i="31"/>
  <c r="L29" i="31"/>
  <c r="I29" i="31"/>
  <c r="J29" i="31" s="1"/>
  <c r="H29" i="31"/>
  <c r="Q28" i="31"/>
  <c r="N28" i="31"/>
  <c r="K28" i="31"/>
  <c r="J28" i="31"/>
  <c r="Q27" i="31"/>
  <c r="N27" i="31"/>
  <c r="K27" i="31"/>
  <c r="J27" i="31"/>
  <c r="Q26" i="31"/>
  <c r="N26" i="31"/>
  <c r="K26" i="31"/>
  <c r="J26" i="31"/>
  <c r="N25" i="31"/>
  <c r="K25" i="31"/>
  <c r="J25" i="31"/>
  <c r="Q24" i="31"/>
  <c r="N24" i="31"/>
  <c r="K24" i="31"/>
  <c r="J24" i="31"/>
  <c r="Q23" i="31"/>
  <c r="N23" i="31"/>
  <c r="K23" i="31"/>
  <c r="J23" i="31"/>
  <c r="O20" i="31"/>
  <c r="O67" i="31" s="1"/>
  <c r="L20" i="31"/>
  <c r="L67" i="31" s="1"/>
  <c r="I20" i="31"/>
  <c r="H20" i="31"/>
  <c r="Q19" i="31"/>
  <c r="Q17" i="31"/>
  <c r="N17" i="31"/>
  <c r="K17" i="31"/>
  <c r="J17" i="31"/>
  <c r="Q16" i="31"/>
  <c r="N16" i="31"/>
  <c r="K16" i="31"/>
  <c r="J16" i="31"/>
  <c r="P8" i="31"/>
  <c r="P7" i="31"/>
  <c r="P6" i="31"/>
  <c r="H67" i="31" l="1"/>
  <c r="I67" i="31"/>
  <c r="J20" i="31"/>
  <c r="D21" i="10"/>
  <c r="F21" i="10" s="1"/>
  <c r="D24" i="10"/>
  <c r="F24" i="10" s="1"/>
  <c r="D15" i="10"/>
  <c r="C4" i="10"/>
  <c r="N29" i="31"/>
  <c r="K29" i="31"/>
  <c r="K20" i="31"/>
  <c r="N42" i="31"/>
  <c r="D19" i="10"/>
  <c r="F19" i="10" s="1"/>
  <c r="D33" i="10"/>
  <c r="F33" i="10" s="1"/>
  <c r="D30" i="10"/>
  <c r="F30" i="10" s="1"/>
  <c r="K42" i="31"/>
  <c r="O29" i="31"/>
  <c r="N20" i="31"/>
  <c r="N39" i="31"/>
  <c r="J42" i="31"/>
  <c r="Q42" i="31"/>
  <c r="K39" i="31"/>
  <c r="H59" i="31"/>
  <c r="Q36" i="31"/>
  <c r="K36" i="31"/>
  <c r="J36" i="31"/>
  <c r="N36" i="31"/>
  <c r="Q39" i="31"/>
  <c r="Q32" i="31"/>
  <c r="Q20" i="31"/>
  <c r="Q25" i="31"/>
  <c r="J32" i="31"/>
  <c r="N32" i="31"/>
  <c r="J39" i="31"/>
  <c r="K32" i="31"/>
  <c r="D38" i="10"/>
  <c r="F38" i="10" s="1"/>
  <c r="D36" i="10"/>
  <c r="F36" i="10" s="1"/>
  <c r="D40" i="10"/>
  <c r="F40" i="10" s="1"/>
  <c r="F31" i="10"/>
  <c r="D28" i="10"/>
  <c r="F28" i="10" s="1"/>
  <c r="D39" i="10"/>
  <c r="F39" i="10" s="1"/>
  <c r="D37" i="10"/>
  <c r="F37" i="10" s="1"/>
  <c r="D35" i="10"/>
  <c r="F35" i="10" s="1"/>
  <c r="D32" i="10"/>
  <c r="F32" i="10" s="1"/>
  <c r="D29" i="10"/>
  <c r="F29" i="10" s="1"/>
  <c r="D26" i="10"/>
  <c r="F26" i="10" s="1"/>
  <c r="D27" i="10"/>
  <c r="F27" i="10" s="1"/>
  <c r="D22" i="10"/>
  <c r="F22" i="10" s="1"/>
  <c r="D20" i="10"/>
  <c r="F20" i="10" s="1"/>
  <c r="D16" i="10"/>
  <c r="F16" i="10" s="1"/>
  <c r="F34" i="10"/>
  <c r="D25" i="10"/>
  <c r="F25" i="10" s="1"/>
  <c r="D23" i="10"/>
  <c r="F23" i="10" s="1"/>
  <c r="D17" i="10"/>
  <c r="F17" i="10" s="1"/>
  <c r="F5" i="10"/>
  <c r="D18" i="10"/>
  <c r="F18" i="10" s="1"/>
  <c r="F6" i="10"/>
  <c r="O59" i="31" l="1"/>
  <c r="Q29" i="31"/>
  <c r="H37" i="10"/>
  <c r="K57" i="31"/>
  <c r="J57" i="31"/>
  <c r="N57" i="31"/>
  <c r="D41" i="10"/>
  <c r="F15" i="10"/>
  <c r="H36" i="10"/>
  <c r="I59" i="31"/>
  <c r="L59" i="31"/>
  <c r="L64" i="31" s="1"/>
  <c r="Q57" i="31"/>
  <c r="P49" i="31" l="1"/>
  <c r="P18" i="31"/>
  <c r="O63" i="31"/>
  <c r="O64" i="31" s="1"/>
  <c r="P56" i="31"/>
  <c r="P48" i="31"/>
  <c r="P53" i="31"/>
  <c r="P59" i="31"/>
  <c r="P55" i="31"/>
  <c r="P43" i="31"/>
  <c r="P33" i="31"/>
  <c r="P27" i="31"/>
  <c r="P23" i="31"/>
  <c r="P46" i="31"/>
  <c r="P40" i="31"/>
  <c r="P28" i="31"/>
  <c r="P16" i="31"/>
  <c r="P58" i="31"/>
  <c r="P54" i="31"/>
  <c r="P26" i="31"/>
  <c r="P19" i="31"/>
  <c r="P44" i="31"/>
  <c r="P34" i="31"/>
  <c r="P24" i="31"/>
  <c r="P47" i="31"/>
  <c r="P45" i="31"/>
  <c r="P41" i="31"/>
  <c r="P35" i="31"/>
  <c r="P25" i="31"/>
  <c r="P17" i="31"/>
  <c r="P32" i="31"/>
  <c r="P20" i="31"/>
  <c r="P42" i="31"/>
  <c r="P36" i="31"/>
  <c r="P39" i="31"/>
  <c r="P57" i="31"/>
  <c r="P29" i="31"/>
  <c r="Q59" i="31"/>
  <c r="H38" i="10"/>
  <c r="H40" i="10"/>
  <c r="H21" i="10"/>
  <c r="H19" i="10"/>
  <c r="H26" i="10"/>
  <c r="H32" i="10"/>
  <c r="H18" i="10"/>
  <c r="H24" i="10"/>
  <c r="J59" i="31"/>
  <c r="K59" i="31"/>
  <c r="H30" i="10"/>
  <c r="H28" i="10"/>
  <c r="H23" i="10"/>
  <c r="H25" i="10"/>
  <c r="H27" i="10"/>
  <c r="N59" i="31"/>
  <c r="L58" i="31"/>
  <c r="M59" i="31"/>
  <c r="M36" i="31"/>
  <c r="M20" i="31"/>
  <c r="M29" i="31"/>
  <c r="H31" i="10"/>
  <c r="F41" i="10"/>
  <c r="M57" i="31"/>
  <c r="H20" i="10"/>
  <c r="M19" i="31" l="1"/>
  <c r="M56" i="31"/>
  <c r="M55" i="31"/>
  <c r="M42" i="31"/>
  <c r="M27" i="31"/>
  <c r="M17" i="31"/>
  <c r="M26" i="31"/>
  <c r="M47" i="31"/>
  <c r="M44" i="31"/>
  <c r="M41" i="31"/>
  <c r="M34" i="31"/>
  <c r="M28" i="31"/>
  <c r="M25" i="31"/>
  <c r="M16" i="31"/>
  <c r="M24" i="31"/>
  <c r="M23" i="31"/>
  <c r="M54" i="31"/>
  <c r="M46" i="31"/>
  <c r="M45" i="31"/>
  <c r="M40" i="31"/>
  <c r="M33" i="31"/>
  <c r="M32" i="31"/>
  <c r="M39" i="31"/>
  <c r="H39" i="10"/>
  <c r="H35" i="10" l="1"/>
  <c r="H15" i="10"/>
  <c r="H16" i="10" l="1"/>
  <c r="G41" i="10" l="1"/>
  <c r="H41" i="10" l="1"/>
  <c r="L41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<sst xmlns="http://schemas.openxmlformats.org/spreadsheetml/2006/main" count="849" uniqueCount="275">
  <si>
    <t>údaje v Kč</t>
  </si>
  <si>
    <t>Ukazatel P - společenské priority</t>
  </si>
  <si>
    <t>Kód VVŠ</t>
  </si>
  <si>
    <t>Název VVŠ</t>
  </si>
  <si>
    <t>Univerzita Karlova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</si>
  <si>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</si>
  <si>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</si>
  <si>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</si>
  <si>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</si>
  <si>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Ostravská univerzita</t>
  </si>
  <si>
    <t>Univerzita Hradec Králové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</si>
  <si>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</si>
  <si>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</si>
  <si>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</si>
  <si>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</si>
  <si>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</si>
  <si>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</si>
  <si>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</si>
  <si>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</si>
  <si>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</si>
  <si>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</si>
  <si>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</si>
  <si>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</si>
  <si>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</si>
  <si>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</si>
  <si>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</si>
  <si>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Vysoká škola polytechnická Jihlava</t>
  </si>
  <si>
    <t>Vysoká škola technická a ekonomická v Českých Budějovicích</t>
  </si>
  <si>
    <t>Celkem</t>
  </si>
  <si>
    <t>Podíl v %</t>
  </si>
  <si>
    <t>Částka</t>
  </si>
  <si>
    <t>Částka po krácení</t>
  </si>
  <si>
    <t>částka vyčleněná na RO I</t>
  </si>
  <si>
    <t>Kč</t>
  </si>
  <si>
    <t>RO I celkem</t>
  </si>
  <si>
    <t xml:space="preserve">     v tom ukazatel A - fixní část</t>
  </si>
  <si>
    <t xml:space="preserve">     v tom ukazatel K - výkonová část </t>
  </si>
  <si>
    <t xml:space="preserve">     v tom ukazatel P - společenské priority</t>
  </si>
  <si>
    <t>Podíl na A + K</t>
  </si>
  <si>
    <t>Ukazatel A - fixní část</t>
  </si>
  <si>
    <t>Ukazatel K - výkonová část</t>
  </si>
  <si>
    <t>Lékařské fakulty</t>
  </si>
  <si>
    <t xml:space="preserve">                 v tom lékařské fakulty</t>
  </si>
  <si>
    <t>(Nezahrnuje dotace na programy reprodukce majetku)</t>
  </si>
  <si>
    <t>Položka</t>
  </si>
  <si>
    <t>meziroční změna</t>
  </si>
  <si>
    <t>Průměrný normativ</t>
  </si>
  <si>
    <t>x</t>
  </si>
  <si>
    <t>Výpočt. stip. v doktor. studiu (ročně)</t>
  </si>
  <si>
    <t>Základní normativ</t>
  </si>
  <si>
    <t>Výpočtové ubytovací stipendium (ročně)</t>
  </si>
  <si>
    <t xml:space="preserve">Normativ absolventa </t>
  </si>
  <si>
    <t>Výpočtová dotace na 1  jídlo</t>
  </si>
  <si>
    <t>Název ukazatele / položky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</si>
  <si>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3)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</si>
  <si>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3 vs 2)</t>
    </r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</si>
  <si>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6)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</si>
  <si>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6 vs 3)</t>
    </r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</si>
  <si>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9)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</si>
  <si>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9 vs 6)</t>
    </r>
  </si>
  <si>
    <t>Rozpočtový okruh I, institucionální část rozpočtu</t>
  </si>
  <si>
    <t>P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</si>
  <si>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</si>
  <si>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</si>
  <si>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</si>
  <si>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</si>
  <si>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</si>
  <si>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</si>
  <si>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U1- příspěvek na ubytovací stipendia VVŠ</t>
  </si>
  <si>
    <t>Celkem sociální záležitosti studentů</t>
  </si>
  <si>
    <t>Rozpočtový okruh III, Rozvoj vysokých škol</t>
  </si>
  <si>
    <t xml:space="preserve">Ukazatel I - rozvojové programy </t>
  </si>
  <si>
    <t>Celkem rozvoj vysokých škol</t>
  </si>
  <si>
    <t>Rozpočtový okruh IV, Mezinárodní spolupráce a ostatní</t>
  </si>
  <si>
    <t>Ukazatel D - mezinárodní spolupráce</t>
  </si>
  <si>
    <t>CEEPUS</t>
  </si>
  <si>
    <t>Podpora mezinárodní spolupráce</t>
  </si>
  <si>
    <t>Ukazatel F - Fond vzdělávací politiky</t>
  </si>
  <si>
    <t>V tom:</t>
  </si>
  <si>
    <t>Systémová podpora VŠ</t>
  </si>
  <si>
    <t>Studium studentů se specifickými potřebami</t>
  </si>
  <si>
    <t>Univerzita třetího věku (U3V)</t>
  </si>
  <si>
    <t>další</t>
  </si>
  <si>
    <t>Celkem Mezinárodní spolupráce a ostatní</t>
  </si>
  <si>
    <t>Ukazatel rozpočtu VŠ (zák. o státním rozpočtu)</t>
  </si>
  <si>
    <t>Příspěvek celkem</t>
  </si>
  <si>
    <t>Dotace celkem</t>
  </si>
  <si>
    <t>V některých ukazatelích může být poskytnut příspěvek nebo dotace v závislosti na účelu, na který se poskytuje.</t>
  </si>
  <si>
    <t>Ukazatel C</t>
  </si>
  <si>
    <t xml:space="preserve">Výše příspěvku           v ukazateli </t>
  </si>
  <si>
    <t>Ukazatel U</t>
  </si>
  <si>
    <t>Základní údaje</t>
  </si>
  <si>
    <t>Počet studentů splňujících podmínky VVŠ</t>
  </si>
  <si>
    <t>Počet studentů splňujících podmínky SVŠ</t>
  </si>
  <si>
    <t>Jednotková sazba (Kč)</t>
  </si>
  <si>
    <t>Výše příspěvku pro VVŠ (Kč)</t>
  </si>
  <si>
    <t>Ukazatel U1 - veřejné vysoké školy</t>
  </si>
  <si>
    <t>Název VŠ</t>
  </si>
  <si>
    <t>výše příspěvku</t>
  </si>
  <si>
    <t>Váha parametru</t>
  </si>
  <si>
    <t>Mezinárodní mobility</t>
  </si>
  <si>
    <t>Zaměstnanost abolventů</t>
  </si>
  <si>
    <t>VaV</t>
  </si>
  <si>
    <t>RUV</t>
  </si>
  <si>
    <t>Externí příjmy</t>
  </si>
  <si>
    <t>Podíl v rámci segmentu</t>
  </si>
  <si>
    <t>Celkový podíl na výkonové části</t>
  </si>
  <si>
    <t>Vyslaní</t>
  </si>
  <si>
    <t>Přijatí</t>
  </si>
  <si>
    <t>Podíl</t>
  </si>
  <si>
    <t>CELKEM</t>
  </si>
  <si>
    <t>Graduation rate</t>
  </si>
  <si>
    <t>Zaměstnanost absolventů</t>
  </si>
  <si>
    <t>Cizinci (AP + VP)</t>
  </si>
  <si>
    <t>Ukazatel J</t>
  </si>
  <si>
    <t xml:space="preserve">celkový počet vydaných jídel </t>
  </si>
  <si>
    <t>teplých</t>
  </si>
  <si>
    <t>studených</t>
  </si>
  <si>
    <t>stud. přepočt.</t>
  </si>
  <si>
    <t>celkem tep. + st. přep.</t>
  </si>
  <si>
    <t>Normativ na jedno hlavní jídlo (Kč)</t>
  </si>
  <si>
    <t>Název fakulty</t>
  </si>
  <si>
    <t>Částka v Kč</t>
  </si>
  <si>
    <t xml:space="preserve">Ukazatel F </t>
  </si>
  <si>
    <t>Celková částka podle rozpisu rozpočtu (Kč)</t>
  </si>
  <si>
    <t>Jednotková částka na jednu studentohodinu (Kč)</t>
  </si>
  <si>
    <t>Upravený nárok</t>
  </si>
  <si>
    <t>Počet účastníků U3V</t>
  </si>
  <si>
    <t>Počet studento- hodin</t>
  </si>
  <si>
    <t>Ukazatel F</t>
  </si>
  <si>
    <t>Celková částka vyčleněná na studium SSP (Kč)</t>
  </si>
  <si>
    <t>Rozsah vykrytí kalkulovaných zvýšených nákladů (%)</t>
  </si>
  <si>
    <t>Kalkulované zvýšené náklady (Kč)</t>
  </si>
  <si>
    <r>
      <t>Sociální stipendium (měsíčně)</t>
    </r>
    <r>
      <rPr>
        <b/>
        <vertAlign val="superscript"/>
        <sz val="11"/>
        <rFont val="Arial"/>
        <family val="2"/>
        <charset val="238"/>
      </rPr>
      <t xml:space="preserve"> 2*)</t>
    </r>
  </si>
  <si>
    <r>
      <t xml:space="preserve">Příspěvek </t>
    </r>
    <r>
      <rPr>
        <b/>
        <vertAlign val="superscript"/>
        <sz val="11"/>
        <rFont val="Arial"/>
        <family val="2"/>
        <charset val="238"/>
      </rPr>
      <t>1*</t>
    </r>
    <r>
      <rPr>
        <b/>
        <sz val="11"/>
        <rFont val="Arial"/>
        <family val="2"/>
        <charset val="238"/>
      </rPr>
      <t>)</t>
    </r>
  </si>
  <si>
    <r>
      <t xml:space="preserve">Dotace </t>
    </r>
    <r>
      <rPr>
        <b/>
        <vertAlign val="superscript"/>
        <sz val="11"/>
        <rFont val="Arial"/>
        <family val="2"/>
        <charset val="238"/>
      </rPr>
      <t>1*)</t>
    </r>
  </si>
  <si>
    <t>v tom</t>
  </si>
  <si>
    <t>Celkem příspěvek + dotace</t>
  </si>
  <si>
    <t>Výdaje na EDS/SMVS (sekce I)</t>
  </si>
  <si>
    <t>Výdaje na činnost VŠ</t>
  </si>
  <si>
    <t xml:space="preserve">1*) </t>
  </si>
  <si>
    <t xml:space="preserve">2*) </t>
  </si>
  <si>
    <t>Soukromé VŠ</t>
  </si>
  <si>
    <t>Univerzita obrany</t>
  </si>
  <si>
    <t>Ukazatel U2 - dotace na ubytovací stipendia SVŠ</t>
  </si>
  <si>
    <t>Ukazatel S2 - dotace na sociální stipendia SVŠ</t>
  </si>
  <si>
    <t>Studia v cizím jazyce</t>
  </si>
  <si>
    <t>Ukazatel I</t>
  </si>
  <si>
    <t>Kód fakulty</t>
  </si>
  <si>
    <t>Fond umělecké činnosti (FUČ)</t>
  </si>
  <si>
    <t>Fond umělecké činnosti</t>
  </si>
  <si>
    <t>Seznam tabulek:</t>
  </si>
  <si>
    <t>Ukazatel F - U3V</t>
  </si>
  <si>
    <t>Výkonová část - segment 1</t>
  </si>
  <si>
    <t>Výkonová část - segment 2</t>
  </si>
  <si>
    <t>Výkonová část - segment 3</t>
  </si>
  <si>
    <t>Výkonová část - segment 4</t>
  </si>
  <si>
    <t xml:space="preserve">Ukazatel F - SSP </t>
  </si>
  <si>
    <t>2a</t>
  </si>
  <si>
    <t>2b</t>
  </si>
  <si>
    <t>2c</t>
  </si>
  <si>
    <t>2d</t>
  </si>
  <si>
    <t>3a</t>
  </si>
  <si>
    <t>3b</t>
  </si>
  <si>
    <t>Rozpočtový okruh I</t>
  </si>
  <si>
    <t>Ukazatel P - Lékařské fakulty</t>
  </si>
  <si>
    <t>10a</t>
  </si>
  <si>
    <t>10b</t>
  </si>
  <si>
    <t>Ukazatel P - společenské priority - lékařské fakulty</t>
  </si>
  <si>
    <t>1. lékařská fakulta</t>
  </si>
  <si>
    <t>3. lékařská fakulta</t>
  </si>
  <si>
    <t>2. lékařská fakulta</t>
  </si>
  <si>
    <t>Lékařská fakulta v Plzni</t>
  </si>
  <si>
    <t>Lékařská fakulta v Hradci Králové</t>
  </si>
  <si>
    <t>Lékařská fakulta</t>
  </si>
  <si>
    <t>Dílčí indikátor</t>
  </si>
  <si>
    <t>Váha</t>
  </si>
  <si>
    <t>Přepočtený počet doc a prof</t>
  </si>
  <si>
    <t>Rozpočtová absolvovaná studia</t>
  </si>
  <si>
    <t>Přepočtená studia na 1 akademického pracovníka</t>
  </si>
  <si>
    <t>VVŠ</t>
  </si>
  <si>
    <t>Název Fakulty</t>
  </si>
  <si>
    <t>Celkový podíl</t>
  </si>
  <si>
    <t>1300</t>
  </si>
  <si>
    <t>Fakulta umění a designu</t>
  </si>
  <si>
    <t>1700</t>
  </si>
  <si>
    <t>Fakulta umění</t>
  </si>
  <si>
    <t>2100</t>
  </si>
  <si>
    <t>Fakulta architektury</t>
  </si>
  <si>
    <t>2300</t>
  </si>
  <si>
    <t>Fakulta designu a umění Ladislava Sutnara</t>
  </si>
  <si>
    <t>2400</t>
  </si>
  <si>
    <t>Fakulta umění a architektury</t>
  </si>
  <si>
    <t>2500</t>
  </si>
  <si>
    <t>Fakulta restaurování</t>
  </si>
  <si>
    <t>2600</t>
  </si>
  <si>
    <t>Fakulta výtvarných umění</t>
  </si>
  <si>
    <t>2800</t>
  </si>
  <si>
    <t>Fakulta multimediálních komunikací</t>
  </si>
  <si>
    <t>5100</t>
  </si>
  <si>
    <t>Hudební a taneční fakulta</t>
  </si>
  <si>
    <t>Divadelní fakulta</t>
  </si>
  <si>
    <t>Filmová a televizní fakulta</t>
  </si>
  <si>
    <t>5200</t>
  </si>
  <si>
    <t>Celoškolská pracoviště (studium mimo fakulty)</t>
  </si>
  <si>
    <t>5300</t>
  </si>
  <si>
    <t>5400</t>
  </si>
  <si>
    <t>Hudební fakulta</t>
  </si>
  <si>
    <t>Počet studentů           se SP</t>
  </si>
  <si>
    <t>Seznam</t>
  </si>
  <si>
    <t>Roční dotace na stravování (Kč)</t>
  </si>
  <si>
    <t>Rozpočtová výše dotace pro SVŠ (Kč)</t>
  </si>
  <si>
    <t>Uplatněný nárok</t>
  </si>
  <si>
    <t>Členění rozpisu rozpočtu (vč. výdajů na EDS/SMVS a výdajů na mezinárodní spolupráci) z pohledu struktury výdajů státní pokladny</t>
  </si>
  <si>
    <t>Výdaje na mezinárodní spolupráci (sekce IV)</t>
  </si>
  <si>
    <t>Krácení finančních prostředků</t>
  </si>
  <si>
    <t>Dotace (Kč)</t>
  </si>
  <si>
    <t>Rozpočet 2022</t>
  </si>
  <si>
    <t>Veterinární univerzita Brno</t>
  </si>
  <si>
    <t>Maximální výše ročního příspěvku</t>
  </si>
  <si>
    <t>Institucionální (dříve decentralizované) plány - od r. 2022 - PPSŘ</t>
  </si>
  <si>
    <t>Kofinancování NPO</t>
  </si>
  <si>
    <t>Podpora ukrajinských studentů</t>
  </si>
  <si>
    <t>Janáčkova akademie múzických umění</t>
  </si>
  <si>
    <t>Rozpočet 2023</t>
  </si>
  <si>
    <t>Podpora - růst cen energií</t>
  </si>
  <si>
    <t>Janáčkova akademie múzických umění v Brně</t>
  </si>
  <si>
    <t xml:space="preserve">                 v tom dlouhodobá podpora VETUNI</t>
  </si>
  <si>
    <t>VETUNI</t>
  </si>
  <si>
    <t>Příspěvek na studium SSP</t>
  </si>
  <si>
    <t>Příspěvek na U3V</t>
  </si>
  <si>
    <t>Rozpočet 2024</t>
  </si>
  <si>
    <t>PPRO - Příprava implementace reformy DS, Strategie řízení LZ</t>
  </si>
  <si>
    <t>Rozpis rozpočtu vysokých škol na rok 2025</t>
  </si>
  <si>
    <t>Ukazatel P - VETUNI</t>
  </si>
  <si>
    <t>Bilance zdrojů pro rozdělení příspěvku a dotací vysokým školám v roce 2025</t>
  </si>
  <si>
    <t>Rozpočet 2025</t>
  </si>
  <si>
    <t>Ukazatel R - Regionalita</t>
  </si>
  <si>
    <t>Podpora NLZSP</t>
  </si>
  <si>
    <t>Podpora pedagogických SP</t>
  </si>
  <si>
    <t>CIKS</t>
  </si>
  <si>
    <t>Výkonová část RO I - 2025 - Segment 1</t>
  </si>
  <si>
    <t>Výkonová část RO I - 2025 - Segment 2</t>
  </si>
  <si>
    <t>Výkonová část RO I - 2025 - Segment 3</t>
  </si>
  <si>
    <t>Výkonová část RO I - 2025 - Segment 4</t>
  </si>
  <si>
    <t>Rozpočtový okruh I, institucionální část rozpočtu - celkový výpočet na rok 2025</t>
  </si>
  <si>
    <t>Vyčleněná částka na lékařské fakulty pro rok 2025</t>
  </si>
  <si>
    <t>Ukazatel P - společenské priority - VETUNI</t>
  </si>
  <si>
    <t>Finanční alokace na rok 2025</t>
  </si>
  <si>
    <t xml:space="preserve">     v tom ukazatel R - regionalita</t>
  </si>
  <si>
    <t>Ukazatel R - regionalita</t>
  </si>
  <si>
    <t>Stipendia pro studenty doktorských studijních programů v roce 2025</t>
  </si>
  <si>
    <t>Ubytovací stipendium v roce 2025</t>
  </si>
  <si>
    <t>Počet studentů s nárokem na ubytovací stip. k 31. 10. 2024</t>
  </si>
  <si>
    <t>Celkem VVŠ</t>
  </si>
  <si>
    <t xml:space="preserve"> Dotace na ubytování a stravování studentů v roce 2025</t>
  </si>
  <si>
    <t>Zdroj dat: údaje vyžádané od VVŠ</t>
  </si>
  <si>
    <t>Program na podporu strategického řízení VŠ pro rok 2025</t>
  </si>
  <si>
    <t>Fond umělecké činnosti pro rok 2025</t>
  </si>
  <si>
    <t>Částka vyčleněná  na ukazatel FUČ pro rok 2025</t>
  </si>
  <si>
    <t>Podpora financování nákladů souvisejících se vzděláváním seniorů prostřednictvím tzv. Univerzit třetího věku v roce 2025</t>
  </si>
  <si>
    <t>Podpora financování zvýšených nákladů souvisejících se studiem studentů se specifickými potřebami v roce 2025</t>
  </si>
  <si>
    <r>
      <rPr>
        <b/>
        <sz val="10"/>
        <color indexed="8"/>
        <rFont val="Calibri"/>
        <family val="2"/>
        <charset val="238"/>
      </rPr>
      <t>V roce 2024</t>
    </r>
    <r>
      <rPr>
        <sz val="10"/>
        <color indexed="8"/>
        <rFont val="Calibri"/>
        <family val="2"/>
        <charset val="238"/>
      </rPr>
      <t xml:space="preserve"> byly uplatněné </t>
    </r>
    <r>
      <rPr>
        <b/>
        <sz val="10"/>
        <color indexed="8"/>
        <rFont val="Calibri"/>
        <family val="2"/>
        <charset val="238"/>
      </rPr>
      <t xml:space="preserve">nároky vykryty ve výši </t>
    </r>
  </si>
  <si>
    <t>Strategie řízení lidských zdrojů</t>
  </si>
  <si>
    <t>Program podpory rozvoje oblasti vysokého školství pro rok 2025</t>
  </si>
  <si>
    <t>vč. krácení dle čl. 10 odst. 5 a 6 Pravidel</t>
  </si>
  <si>
    <t>Příprava implementace reformy DS</t>
  </si>
  <si>
    <t>Program podpory rozvoje oblasti VŠ (PPRO)</t>
  </si>
  <si>
    <t>Bude upřesněno v průběhu roku podle povahy schválených výdajů</t>
  </si>
  <si>
    <t>Částka v rozpisu rozpočtu na rok 2025</t>
  </si>
  <si>
    <t>Rezerva na navýš. RO I dle čl. 9 odst. 3 a 4 Pravidel pro rok 2025</t>
  </si>
  <si>
    <t>Vychází z výše minimální mzdy od roku 2025</t>
  </si>
  <si>
    <t>Rozpočtoví absolventi</t>
  </si>
  <si>
    <t>Rezerva na žádosti dle čl. 17 Pravidel (Kč)</t>
  </si>
  <si>
    <t>Výše prostředků na stipendia pro studenty doktorských SP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</si>
</sst>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#,##0\ &quot;Kč&quot;;[Red]\-#,##0\ &quot;Kč&quot;"/>
    <numFmt numFmtId="8" formatCode="#,##0.00\ &quot;Kč&quot;;[Red]\-#,##0.0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0.000%"/>
    <numFmt numFmtId="166" formatCode="0.0%"/>
    <numFmt numFmtId="167" formatCode="#,##0\ &quot;Kč&quot;"/>
    <numFmt numFmtId="168" formatCode="#,##0.00\ &quot;Kč&quot;"/>
    <numFmt numFmtId="169" formatCode="0.0"/>
    <numFmt numFmtId="170" formatCode="#,##0.00_ ;[Red]\-#,##0.00\ "/>
    <numFmt numFmtId="171" formatCode="_-* #,##0\ [$Kč-405]_-;\-* #,##0\ [$Kč-405]_-;_-* &quot;-&quot;??\ [$Kč-405]_-;_-@_-"/>
    <numFmt numFmtId="172" formatCode="#,##0.000"/>
    <numFmt numFmtId="173" formatCode="#,##0.0000000000000"/>
    <numFmt numFmtId="174" formatCode="0.00000000000"/>
    <numFmt numFmtId="175" formatCode="0.0000000"/>
    <numFmt numFmtId="176" formatCode="0.000"/>
  </numFmts>
  <fonts count="6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2"/>
      <name val="Calibri"/>
      <family val="2"/>
      <charset val="238"/>
      <scheme val="minor"/>
    </font>
    <font>
      <sz val="13.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i/>
      <sz val="11"/>
      <name val="Arial"/>
      <family val="2"/>
      <charset val="238"/>
    </font>
    <font>
      <b/>
      <i/>
      <sz val="11"/>
      <color rgb="FF808080"/>
      <name val="Arial"/>
      <family val="2"/>
      <charset val="238"/>
    </font>
    <font>
      <i/>
      <sz val="11"/>
      <color indexed="23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808080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6"/>
      <name val="Arial"/>
      <family val="2"/>
      <charset val="238"/>
    </font>
    <font>
      <b/>
      <sz val="20"/>
      <name val="Arial"/>
      <family val="2"/>
      <charset val="238"/>
    </font>
    <font>
      <sz val="10"/>
      <color theme="1"/>
      <name val="Arial"/>
      <family val="2"/>
      <charset val="238"/>
    </font>
    <font>
      <b/>
      <sz val="22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name val="Times New Roman CE"/>
      <family val="1"/>
      <charset val="238"/>
    </font>
    <font>
      <b/>
      <sz val="2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22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22"/>
      <name val="Arial"/>
      <family val="2"/>
      <charset val="238"/>
    </font>
    <font>
      <u/>
      <sz val="11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vertAlign val="superscript"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theme="9" tint="-0.499984740745262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2" fillId="0" borderId="0" applyFont="0"/>
    <xf numFmtId="0" fontId="4" fillId="0" borderId="0"/>
    <xf numFmtId="0" fontId="4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3" fillId="0" borderId="0"/>
    <xf numFmtId="0" fontId="16" fillId="0" borderId="0"/>
    <xf numFmtId="0" fontId="4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93">
    <xf numFmtId="0" fontId="0" fillId="0" borderId="0" xfId="0"/>
    <xf numFmtId="3" fontId="8" fillId="0" borderId="17" xfId="8" applyNumberFormat="1" applyFont="1" applyBorder="1" applyAlignment="1">
      <alignment horizontal="right" vertical="center" indent="1"/>
    </xf>
    <xf numFmtId="3" fontId="8" fillId="0" borderId="18" xfId="8" applyNumberFormat="1" applyFont="1" applyBorder="1" applyAlignment="1">
      <alignment horizontal="right" vertical="center" indent="1"/>
    </xf>
    <xf numFmtId="10" fontId="6" fillId="0" borderId="20" xfId="7" applyNumberFormat="1" applyFont="1" applyFill="1" applyBorder="1" applyAlignment="1">
      <alignment horizontal="right" vertical="center" indent="1"/>
    </xf>
    <xf numFmtId="3" fontId="8" fillId="0" borderId="14" xfId="8" applyNumberFormat="1" applyFont="1" applyBorder="1" applyAlignment="1">
      <alignment horizontal="right" vertical="center" indent="1"/>
    </xf>
    <xf numFmtId="3" fontId="8" fillId="0" borderId="21" xfId="8" applyNumberFormat="1" applyFont="1" applyBorder="1" applyAlignment="1">
      <alignment horizontal="right" vertical="center" indent="1"/>
    </xf>
    <xf numFmtId="3" fontId="8" fillId="0" borderId="34" xfId="8" applyNumberFormat="1" applyFont="1" applyBorder="1" applyAlignment="1">
      <alignment horizontal="right" vertical="center" indent="1"/>
    </xf>
    <xf numFmtId="3" fontId="8" fillId="0" borderId="35" xfId="8" applyNumberFormat="1" applyFont="1" applyBorder="1" applyAlignment="1">
      <alignment horizontal="right" vertical="center" indent="1"/>
    </xf>
    <xf numFmtId="10" fontId="7" fillId="0" borderId="1" xfId="8" applyNumberFormat="1" applyFont="1" applyBorder="1" applyAlignment="1">
      <alignment horizontal="right" vertical="center" indent="1"/>
    </xf>
    <xf numFmtId="3" fontId="7" fillId="0" borderId="2" xfId="8" applyNumberFormat="1" applyFont="1" applyBorder="1" applyAlignment="1">
      <alignment horizontal="right" vertical="center" indent="1"/>
    </xf>
    <xf numFmtId="3" fontId="7" fillId="0" borderId="3" xfId="8" applyNumberFormat="1" applyFont="1" applyBorder="1" applyAlignment="1">
      <alignment horizontal="right" vertical="center" indent="1"/>
    </xf>
    <xf numFmtId="3" fontId="0" fillId="0" borderId="0" xfId="0" applyNumberFormat="1"/>
    <xf numFmtId="0" fontId="3" fillId="0" borderId="0" xfId="8" applyFont="1"/>
    <xf numFmtId="0" fontId="8" fillId="0" borderId="0" xfId="8" applyFont="1"/>
    <xf numFmtId="0" fontId="9" fillId="0" borderId="0" xfId="8" applyFont="1"/>
    <xf numFmtId="0" fontId="1" fillId="0" borderId="0" xfId="8"/>
    <xf numFmtId="0" fontId="7" fillId="0" borderId="0" xfId="8" applyFont="1"/>
    <xf numFmtId="3" fontId="7" fillId="0" borderId="0" xfId="8" applyNumberFormat="1" applyFont="1"/>
    <xf numFmtId="0" fontId="1" fillId="0" borderId="0" xfId="8" applyAlignment="1">
      <alignment horizontal="right"/>
    </xf>
    <xf numFmtId="10" fontId="6" fillId="0" borderId="16" xfId="7" applyNumberFormat="1" applyFont="1" applyFill="1" applyBorder="1" applyAlignment="1">
      <alignment horizontal="right" vertical="center" indent="1"/>
    </xf>
    <xf numFmtId="10" fontId="7" fillId="0" borderId="41" xfId="8" applyNumberFormat="1" applyFont="1" applyBorder="1" applyAlignment="1">
      <alignment horizontal="right" vertical="center" indent="1"/>
    </xf>
    <xf numFmtId="0" fontId="10" fillId="0" borderId="0" xfId="8" applyFont="1"/>
    <xf numFmtId="3" fontId="1" fillId="0" borderId="0" xfId="8" applyNumberFormat="1"/>
    <xf numFmtId="165" fontId="7" fillId="0" borderId="0" xfId="1" applyNumberFormat="1" applyFont="1"/>
    <xf numFmtId="165" fontId="7" fillId="0" borderId="0" xfId="1" applyNumberFormat="1" applyFont="1" applyBorder="1"/>
    <xf numFmtId="0" fontId="8" fillId="0" borderId="20" xfId="8" applyFont="1" applyBorder="1" applyAlignment="1">
      <alignment horizontal="center" vertical="center"/>
    </xf>
    <xf numFmtId="0" fontId="8" fillId="0" borderId="43" xfId="8" applyFont="1" applyBorder="1" applyAlignment="1">
      <alignment horizontal="center" vertical="center"/>
    </xf>
    <xf numFmtId="10" fontId="6" fillId="0" borderId="44" xfId="7" applyNumberFormat="1" applyFont="1" applyFill="1" applyBorder="1" applyAlignment="1">
      <alignment horizontal="right" vertical="center" indent="1"/>
    </xf>
    <xf numFmtId="0" fontId="8" fillId="0" borderId="12" xfId="5" applyFont="1" applyBorder="1" applyAlignment="1">
      <alignment horizontal="left" vertical="center" wrapText="1" indent="1"/>
    </xf>
    <xf numFmtId="0" fontId="8" fillId="0" borderId="19" xfId="5" applyFont="1" applyBorder="1" applyAlignment="1">
      <alignment horizontal="left" vertical="center" wrapText="1" indent="1"/>
    </xf>
    <xf numFmtId="10" fontId="8" fillId="0" borderId="43" xfId="8" applyNumberFormat="1" applyFont="1" applyBorder="1" applyAlignment="1">
      <alignment horizontal="right" vertical="center" indent="1"/>
    </xf>
    <xf numFmtId="10" fontId="8" fillId="0" borderId="20" xfId="8" applyNumberFormat="1" applyFont="1" applyBorder="1" applyAlignment="1">
      <alignment horizontal="right" vertical="center" indent="1"/>
    </xf>
    <xf numFmtId="0" fontId="8" fillId="0" borderId="33" xfId="8" applyFont="1" applyBorder="1" applyAlignment="1">
      <alignment horizontal="center" vertical="center"/>
    </xf>
    <xf numFmtId="0" fontId="8" fillId="0" borderId="37" xfId="5" applyFont="1" applyBorder="1" applyAlignment="1">
      <alignment horizontal="left" vertical="center" wrapText="1" indent="1"/>
    </xf>
    <xf numFmtId="10" fontId="6" fillId="0" borderId="36" xfId="7" applyNumberFormat="1" applyFont="1" applyFill="1" applyBorder="1" applyAlignment="1">
      <alignment horizontal="right" vertical="center" indent="1"/>
    </xf>
    <xf numFmtId="0" fontId="11" fillId="0" borderId="0" xfId="9"/>
    <xf numFmtId="0" fontId="0" fillId="0" borderId="0" xfId="0" applyAlignment="1">
      <alignment horizontal="right"/>
    </xf>
    <xf numFmtId="0" fontId="5" fillId="6" borderId="0" xfId="10" applyFont="1" applyFill="1" applyAlignment="1">
      <alignment horizontal="left" vertical="center"/>
    </xf>
    <xf numFmtId="0" fontId="5" fillId="6" borderId="0" xfId="10" applyFont="1" applyFill="1" applyAlignment="1">
      <alignment vertical="center"/>
    </xf>
    <xf numFmtId="0" fontId="6" fillId="6" borderId="0" xfId="10" applyFont="1" applyFill="1" applyAlignment="1">
      <alignment vertical="center"/>
    </xf>
    <xf numFmtId="166" fontId="6" fillId="6" borderId="0" xfId="10" applyNumberFormat="1" applyFont="1" applyFill="1" applyAlignment="1">
      <alignment horizontal="right" vertical="center"/>
    </xf>
    <xf numFmtId="166" fontId="6" fillId="6" borderId="0" xfId="10" applyNumberFormat="1" applyFont="1" applyFill="1" applyAlignment="1">
      <alignment vertical="center"/>
    </xf>
    <xf numFmtId="0" fontId="6" fillId="6" borderId="0" xfId="10" applyFont="1" applyFill="1" applyAlignment="1">
      <alignment horizontal="right" vertical="center"/>
    </xf>
    <xf numFmtId="0" fontId="0" fillId="6" borderId="0" xfId="0" applyFill="1"/>
    <xf numFmtId="0" fontId="14" fillId="6" borderId="2" xfId="10" applyFont="1" applyFill="1" applyBorder="1" applyAlignment="1">
      <alignment horizontal="center" vertical="center" wrapText="1"/>
    </xf>
    <xf numFmtId="0" fontId="14" fillId="6" borderId="3" xfId="10" applyFont="1" applyFill="1" applyBorder="1" applyAlignment="1">
      <alignment horizontal="center" vertical="center" wrapText="1"/>
    </xf>
    <xf numFmtId="0" fontId="14" fillId="0" borderId="2" xfId="10" applyFont="1" applyBorder="1" applyAlignment="1">
      <alignment horizontal="center" vertical="center" wrapText="1"/>
    </xf>
    <xf numFmtId="0" fontId="14" fillId="7" borderId="2" xfId="10" applyFont="1" applyFill="1" applyBorder="1" applyAlignment="1">
      <alignment horizontal="center" vertical="center" wrapText="1"/>
    </xf>
    <xf numFmtId="0" fontId="15" fillId="6" borderId="6" xfId="10" applyFont="1" applyFill="1" applyBorder="1" applyAlignment="1">
      <alignment horizontal="center" vertical="center" wrapText="1"/>
    </xf>
    <xf numFmtId="3" fontId="5" fillId="6" borderId="11" xfId="10" applyNumberFormat="1" applyFont="1" applyFill="1" applyBorder="1" applyAlignment="1">
      <alignment horizontal="center" vertical="center" wrapText="1"/>
    </xf>
    <xf numFmtId="3" fontId="5" fillId="0" borderId="10" xfId="10" applyNumberFormat="1" applyFont="1" applyBorder="1" applyAlignment="1">
      <alignment horizontal="center" vertical="center"/>
    </xf>
    <xf numFmtId="6" fontId="5" fillId="6" borderId="14" xfId="10" applyNumberFormat="1" applyFont="1" applyFill="1" applyBorder="1" applyAlignment="1">
      <alignment horizontal="center" vertical="center"/>
    </xf>
    <xf numFmtId="167" fontId="5" fillId="7" borderId="11" xfId="10" applyNumberFormat="1" applyFont="1" applyFill="1" applyBorder="1" applyAlignment="1">
      <alignment horizontal="center" vertical="center"/>
    </xf>
    <xf numFmtId="10" fontId="6" fillId="6" borderId="15" xfId="10" applyNumberFormat="1" applyFont="1" applyFill="1" applyBorder="1" applyAlignment="1">
      <alignment horizontal="center" vertical="center"/>
    </xf>
    <xf numFmtId="3" fontId="5" fillId="6" borderId="18" xfId="10" applyNumberFormat="1" applyFont="1" applyFill="1" applyBorder="1" applyAlignment="1">
      <alignment horizontal="center" vertical="center" wrapText="1"/>
    </xf>
    <xf numFmtId="3" fontId="5" fillId="0" borderId="17" xfId="10" applyNumberFormat="1" applyFont="1" applyBorder="1" applyAlignment="1">
      <alignment horizontal="center" vertical="center"/>
    </xf>
    <xf numFmtId="10" fontId="6" fillId="6" borderId="19" xfId="10" applyNumberFormat="1" applyFont="1" applyFill="1" applyBorder="1" applyAlignment="1">
      <alignment horizontal="center" vertical="center"/>
    </xf>
    <xf numFmtId="167" fontId="5" fillId="7" borderId="21" xfId="10" applyNumberFormat="1" applyFont="1" applyFill="1" applyBorder="1" applyAlignment="1">
      <alignment horizontal="center" vertical="center"/>
    </xf>
    <xf numFmtId="3" fontId="5" fillId="6" borderId="23" xfId="10" applyNumberFormat="1" applyFont="1" applyFill="1" applyBorder="1" applyAlignment="1">
      <alignment horizontal="center" vertical="center" wrapText="1"/>
    </xf>
    <xf numFmtId="3" fontId="5" fillId="6" borderId="24" xfId="10" applyNumberFormat="1" applyFont="1" applyFill="1" applyBorder="1" applyAlignment="1">
      <alignment horizontal="center" vertical="center" wrapText="1"/>
    </xf>
    <xf numFmtId="3" fontId="5" fillId="0" borderId="23" xfId="10" applyNumberFormat="1" applyFont="1" applyBorder="1" applyAlignment="1">
      <alignment horizontal="center" vertical="center"/>
    </xf>
    <xf numFmtId="10" fontId="0" fillId="6" borderId="0" xfId="1" applyNumberFormat="1" applyFont="1" applyFill="1"/>
    <xf numFmtId="8" fontId="5" fillId="6" borderId="23" xfId="10" applyNumberFormat="1" applyFont="1" applyFill="1" applyBorder="1" applyAlignment="1">
      <alignment horizontal="center" vertical="center"/>
    </xf>
    <xf numFmtId="168" fontId="5" fillId="7" borderId="24" xfId="10" applyNumberFormat="1" applyFont="1" applyFill="1" applyBorder="1" applyAlignment="1">
      <alignment horizontal="center" vertical="center"/>
    </xf>
    <xf numFmtId="10" fontId="6" fillId="6" borderId="26" xfId="10" applyNumberFormat="1" applyFont="1" applyFill="1" applyBorder="1" applyAlignment="1">
      <alignment horizontal="center" vertical="center"/>
    </xf>
    <xf numFmtId="0" fontId="5" fillId="6" borderId="0" xfId="10" applyFont="1" applyFill="1" applyAlignment="1">
      <alignment horizontal="left" vertical="center" wrapText="1"/>
    </xf>
    <xf numFmtId="1" fontId="5" fillId="0" borderId="1" xfId="10" applyNumberFormat="1" applyFont="1" applyBorder="1" applyAlignment="1">
      <alignment horizontal="center" vertical="center"/>
    </xf>
    <xf numFmtId="1" fontId="5" fillId="0" borderId="2" xfId="10" applyNumberFormat="1" applyFont="1" applyBorder="1" applyAlignment="1">
      <alignment horizontal="center" vertical="center"/>
    </xf>
    <xf numFmtId="1" fontId="5" fillId="0" borderId="30" xfId="10" applyNumberFormat="1" applyFont="1" applyBorder="1" applyAlignment="1">
      <alignment horizontal="center" vertical="center"/>
    </xf>
    <xf numFmtId="1" fontId="18" fillId="0" borderId="29" xfId="10" applyNumberFormat="1" applyFont="1" applyBorder="1" applyAlignment="1">
      <alignment horizontal="center" vertical="center"/>
    </xf>
    <xf numFmtId="1" fontId="18" fillId="0" borderId="32" xfId="10" applyNumberFormat="1" applyFont="1" applyBorder="1" applyAlignment="1">
      <alignment horizontal="center" vertical="center"/>
    </xf>
    <xf numFmtId="1" fontId="7" fillId="8" borderId="74" xfId="10" applyNumberFormat="1" applyFont="1" applyFill="1" applyBorder="1" applyAlignment="1">
      <alignment horizontal="center" vertical="center"/>
    </xf>
    <xf numFmtId="1" fontId="18" fillId="0" borderId="31" xfId="10" applyNumberFormat="1" applyFont="1" applyBorder="1" applyAlignment="1">
      <alignment horizontal="center" vertical="center"/>
    </xf>
    <xf numFmtId="1" fontId="7" fillId="7" borderId="76" xfId="10" applyNumberFormat="1" applyFont="1" applyFill="1" applyBorder="1" applyAlignment="1">
      <alignment horizontal="center" vertical="center"/>
    </xf>
    <xf numFmtId="0" fontId="17" fillId="6" borderId="64" xfId="10" applyFont="1" applyFill="1" applyBorder="1" applyAlignment="1">
      <alignment vertical="center"/>
    </xf>
    <xf numFmtId="0" fontId="17" fillId="6" borderId="0" xfId="10" applyFont="1" applyFill="1" applyAlignment="1">
      <alignment vertical="center"/>
    </xf>
    <xf numFmtId="0" fontId="20" fillId="6" borderId="0" xfId="10" applyFont="1" applyFill="1" applyAlignment="1">
      <alignment vertical="center"/>
    </xf>
    <xf numFmtId="3" fontId="17" fillId="6" borderId="0" xfId="10" applyNumberFormat="1" applyFont="1" applyFill="1" applyAlignment="1">
      <alignment horizontal="center" vertical="center"/>
    </xf>
    <xf numFmtId="10" fontId="21" fillId="6" borderId="0" xfId="10" applyNumberFormat="1" applyFont="1" applyFill="1" applyAlignment="1">
      <alignment horizontal="center" vertical="center"/>
    </xf>
    <xf numFmtId="0" fontId="21" fillId="6" borderId="0" xfId="10" applyFont="1" applyFill="1" applyAlignment="1">
      <alignment vertical="center"/>
    </xf>
    <xf numFmtId="3" fontId="22" fillId="8" borderId="68" xfId="10" applyNumberFormat="1" applyFont="1" applyFill="1" applyBorder="1" applyAlignment="1">
      <alignment horizontal="center" vertical="center"/>
    </xf>
    <xf numFmtId="0" fontId="21" fillId="6" borderId="78" xfId="10" applyFont="1" applyFill="1" applyBorder="1" applyAlignment="1">
      <alignment vertical="center"/>
    </xf>
    <xf numFmtId="3" fontId="22" fillId="7" borderId="70" xfId="10" applyNumberFormat="1" applyFont="1" applyFill="1" applyBorder="1" applyAlignment="1">
      <alignment horizontal="center" vertical="center"/>
    </xf>
    <xf numFmtId="0" fontId="23" fillId="6" borderId="0" xfId="10" applyFont="1" applyFill="1" applyAlignment="1">
      <alignment vertical="center"/>
    </xf>
    <xf numFmtId="3" fontId="24" fillId="8" borderId="68" xfId="10" applyNumberFormat="1" applyFont="1" applyFill="1" applyBorder="1" applyAlignment="1">
      <alignment horizontal="center" vertical="center"/>
    </xf>
    <xf numFmtId="3" fontId="24" fillId="7" borderId="70" xfId="10" applyNumberFormat="1" applyFont="1" applyFill="1" applyBorder="1" applyAlignment="1">
      <alignment horizontal="center" vertical="center"/>
    </xf>
    <xf numFmtId="0" fontId="17" fillId="6" borderId="13" xfId="10" applyFont="1" applyFill="1" applyBorder="1" applyAlignment="1">
      <alignment vertical="center"/>
    </xf>
    <xf numFmtId="0" fontId="17" fillId="6" borderId="10" xfId="10" applyFont="1" applyFill="1" applyBorder="1" applyAlignment="1">
      <alignment vertical="center"/>
    </xf>
    <xf numFmtId="3" fontId="6" fillId="6" borderId="52" xfId="10" applyNumberFormat="1" applyFont="1" applyFill="1" applyBorder="1" applyAlignment="1">
      <alignment vertical="center"/>
    </xf>
    <xf numFmtId="166" fontId="21" fillId="6" borderId="58" xfId="10" applyNumberFormat="1" applyFont="1" applyFill="1" applyBorder="1" applyAlignment="1">
      <alignment vertical="center"/>
    </xf>
    <xf numFmtId="166" fontId="21" fillId="6" borderId="55" xfId="10" applyNumberFormat="1" applyFont="1" applyFill="1" applyBorder="1" applyAlignment="1">
      <alignment vertical="center"/>
    </xf>
    <xf numFmtId="3" fontId="8" fillId="8" borderId="79" xfId="10" applyNumberFormat="1" applyFont="1" applyFill="1" applyBorder="1" applyAlignment="1">
      <alignment vertical="center"/>
    </xf>
    <xf numFmtId="166" fontId="21" fillId="6" borderId="6" xfId="10" applyNumberFormat="1" applyFont="1" applyFill="1" applyBorder="1" applyAlignment="1">
      <alignment vertical="center"/>
    </xf>
    <xf numFmtId="3" fontId="8" fillId="7" borderId="80" xfId="10" applyNumberFormat="1" applyFont="1" applyFill="1" applyBorder="1" applyAlignment="1">
      <alignment vertical="center"/>
    </xf>
    <xf numFmtId="0" fontId="17" fillId="6" borderId="33" xfId="10" applyFont="1" applyFill="1" applyBorder="1" applyAlignment="1">
      <alignment vertical="center"/>
    </xf>
    <xf numFmtId="0" fontId="17" fillId="6" borderId="34" xfId="10" applyFont="1" applyFill="1" applyBorder="1" applyAlignment="1">
      <alignment vertical="center" wrapText="1"/>
    </xf>
    <xf numFmtId="3" fontId="6" fillId="6" borderId="34" xfId="10" applyNumberFormat="1" applyFont="1" applyFill="1" applyBorder="1" applyAlignment="1">
      <alignment vertical="center"/>
    </xf>
    <xf numFmtId="166" fontId="21" fillId="6" borderId="36" xfId="10" applyNumberFormat="1" applyFont="1" applyFill="1" applyBorder="1" applyAlignment="1">
      <alignment vertical="center"/>
    </xf>
    <xf numFmtId="166" fontId="21" fillId="6" borderId="35" xfId="10" applyNumberFormat="1" applyFont="1" applyFill="1" applyBorder="1" applyAlignment="1">
      <alignment horizontal="right" vertical="center"/>
    </xf>
    <xf numFmtId="3" fontId="8" fillId="8" borderId="82" xfId="10" applyNumberFormat="1" applyFont="1" applyFill="1" applyBorder="1" applyAlignment="1">
      <alignment vertical="center"/>
    </xf>
    <xf numFmtId="166" fontId="21" fillId="6" borderId="37" xfId="10" applyNumberFormat="1" applyFont="1" applyFill="1" applyBorder="1" applyAlignment="1">
      <alignment horizontal="right" vertical="center"/>
    </xf>
    <xf numFmtId="3" fontId="8" fillId="7" borderId="83" xfId="10" applyNumberFormat="1" applyFont="1" applyFill="1" applyBorder="1" applyAlignment="1">
      <alignment vertical="center"/>
    </xf>
    <xf numFmtId="0" fontId="17" fillId="6" borderId="22" xfId="10" applyFont="1" applyFill="1" applyBorder="1" applyAlignment="1">
      <alignment vertical="center"/>
    </xf>
    <xf numFmtId="0" fontId="17" fillId="6" borderId="23" xfId="10" applyFont="1" applyFill="1" applyBorder="1" applyAlignment="1">
      <alignment vertical="center" wrapText="1"/>
    </xf>
    <xf numFmtId="3" fontId="6" fillId="6" borderId="23" xfId="10" applyNumberFormat="1" applyFont="1" applyFill="1" applyBorder="1" applyAlignment="1">
      <alignment vertical="center"/>
    </xf>
    <xf numFmtId="166" fontId="21" fillId="6" borderId="85" xfId="10" applyNumberFormat="1" applyFont="1" applyFill="1" applyBorder="1" applyAlignment="1">
      <alignment vertical="center"/>
    </xf>
    <xf numFmtId="166" fontId="21" fillId="6" borderId="24" xfId="10" applyNumberFormat="1" applyFont="1" applyFill="1" applyBorder="1" applyAlignment="1">
      <alignment horizontal="right" vertical="center"/>
    </xf>
    <xf numFmtId="3" fontId="8" fillId="8" borderId="86" xfId="10" applyNumberFormat="1" applyFont="1" applyFill="1" applyBorder="1" applyAlignment="1">
      <alignment vertical="center"/>
    </xf>
    <xf numFmtId="166" fontId="21" fillId="6" borderId="26" xfId="10" applyNumberFormat="1" applyFont="1" applyFill="1" applyBorder="1" applyAlignment="1">
      <alignment horizontal="right" vertical="center"/>
    </xf>
    <xf numFmtId="3" fontId="8" fillId="7" borderId="87" xfId="10" applyNumberFormat="1" applyFont="1" applyFill="1" applyBorder="1" applyAlignment="1">
      <alignment vertical="center"/>
    </xf>
    <xf numFmtId="0" fontId="25" fillId="6" borderId="38" xfId="10" applyFont="1" applyFill="1" applyBorder="1" applyAlignment="1">
      <alignment vertical="center"/>
    </xf>
    <xf numFmtId="0" fontId="25" fillId="6" borderId="30" xfId="10" applyFont="1" applyFill="1" applyBorder="1" applyAlignment="1">
      <alignment vertical="center" wrapText="1"/>
    </xf>
    <xf numFmtId="3" fontId="23" fillId="6" borderId="30" xfId="10" applyNumberFormat="1" applyFont="1" applyFill="1" applyBorder="1" applyAlignment="1">
      <alignment horizontal="right" vertical="center"/>
    </xf>
    <xf numFmtId="166" fontId="26" fillId="6" borderId="29" xfId="10" applyNumberFormat="1" applyFont="1" applyFill="1" applyBorder="1" applyAlignment="1">
      <alignment horizontal="right" vertical="center"/>
    </xf>
    <xf numFmtId="166" fontId="27" fillId="6" borderId="32" xfId="10" applyNumberFormat="1" applyFont="1" applyFill="1" applyBorder="1" applyAlignment="1">
      <alignment horizontal="right" vertical="center"/>
    </xf>
    <xf numFmtId="3" fontId="28" fillId="8" borderId="74" xfId="10" applyNumberFormat="1" applyFont="1" applyFill="1" applyBorder="1" applyAlignment="1">
      <alignment horizontal="right" vertical="center"/>
    </xf>
    <xf numFmtId="166" fontId="27" fillId="6" borderId="31" xfId="10" applyNumberFormat="1" applyFont="1" applyFill="1" applyBorder="1" applyAlignment="1">
      <alignment horizontal="right" vertical="center"/>
    </xf>
    <xf numFmtId="3" fontId="28" fillId="7" borderId="76" xfId="10" applyNumberFormat="1" applyFont="1" applyFill="1" applyBorder="1" applyAlignment="1">
      <alignment horizontal="right" vertical="center"/>
    </xf>
    <xf numFmtId="3" fontId="17" fillId="6" borderId="0" xfId="10" applyNumberFormat="1" applyFont="1" applyFill="1" applyAlignment="1">
      <alignment horizontal="right" vertical="center"/>
    </xf>
    <xf numFmtId="0" fontId="21" fillId="6" borderId="0" xfId="3" applyFont="1" applyFill="1" applyAlignment="1">
      <alignment horizontal="right"/>
    </xf>
    <xf numFmtId="169" fontId="21" fillId="6" borderId="0" xfId="10" applyNumberFormat="1" applyFont="1" applyFill="1" applyAlignment="1">
      <alignment horizontal="right" vertical="center"/>
    </xf>
    <xf numFmtId="3" fontId="22" fillId="8" borderId="68" xfId="10" applyNumberFormat="1" applyFont="1" applyFill="1" applyBorder="1" applyAlignment="1">
      <alignment horizontal="right" vertical="center"/>
    </xf>
    <xf numFmtId="169" fontId="21" fillId="6" borderId="78" xfId="10" applyNumberFormat="1" applyFont="1" applyFill="1" applyBorder="1" applyAlignment="1">
      <alignment horizontal="right" vertical="center"/>
    </xf>
    <xf numFmtId="3" fontId="22" fillId="7" borderId="70" xfId="10" applyNumberFormat="1" applyFont="1" applyFill="1" applyBorder="1" applyAlignment="1">
      <alignment horizontal="right" vertical="center"/>
    </xf>
    <xf numFmtId="166" fontId="21" fillId="6" borderId="0" xfId="10" applyNumberFormat="1" applyFont="1" applyFill="1" applyAlignment="1">
      <alignment horizontal="right" vertical="center"/>
    </xf>
    <xf numFmtId="166" fontId="21" fillId="6" borderId="78" xfId="10" applyNumberFormat="1" applyFont="1" applyFill="1" applyBorder="1" applyAlignment="1">
      <alignment horizontal="right" vertical="center"/>
    </xf>
    <xf numFmtId="3" fontId="6" fillId="6" borderId="10" xfId="10" applyNumberFormat="1" applyFont="1" applyFill="1" applyBorder="1" applyAlignment="1">
      <alignment horizontal="right" vertical="center"/>
    </xf>
    <xf numFmtId="166" fontId="21" fillId="6" borderId="9" xfId="10" applyNumberFormat="1" applyFont="1" applyFill="1" applyBorder="1" applyAlignment="1">
      <alignment horizontal="right" vertical="center"/>
    </xf>
    <xf numFmtId="166" fontId="21" fillId="6" borderId="11" xfId="10" applyNumberFormat="1" applyFont="1" applyFill="1" applyBorder="1" applyAlignment="1">
      <alignment horizontal="right" vertical="center"/>
    </xf>
    <xf numFmtId="3" fontId="8" fillId="8" borderId="79" xfId="10" applyNumberFormat="1" applyFont="1" applyFill="1" applyBorder="1" applyAlignment="1">
      <alignment horizontal="right" vertical="center"/>
    </xf>
    <xf numFmtId="166" fontId="21" fillId="6" borderId="39" xfId="10" applyNumberFormat="1" applyFont="1" applyFill="1" applyBorder="1" applyAlignment="1">
      <alignment horizontal="right" vertical="center"/>
    </xf>
    <xf numFmtId="3" fontId="8" fillId="7" borderId="80" xfId="10" applyNumberFormat="1" applyFont="1" applyFill="1" applyBorder="1" applyAlignment="1">
      <alignment horizontal="right" vertical="center"/>
    </xf>
    <xf numFmtId="0" fontId="17" fillId="6" borderId="20" xfId="10" applyFont="1" applyFill="1" applyBorder="1" applyAlignment="1">
      <alignment vertical="center"/>
    </xf>
    <xf numFmtId="0" fontId="17" fillId="6" borderId="14" xfId="10" applyFont="1" applyFill="1" applyBorder="1" applyAlignment="1">
      <alignment vertical="center"/>
    </xf>
    <xf numFmtId="3" fontId="6" fillId="6" borderId="14" xfId="10" applyNumberFormat="1" applyFont="1" applyFill="1" applyBorder="1" applyAlignment="1">
      <alignment horizontal="right" vertical="center"/>
    </xf>
    <xf numFmtId="166" fontId="21" fillId="6" borderId="16" xfId="10" applyNumberFormat="1" applyFont="1" applyFill="1" applyBorder="1" applyAlignment="1">
      <alignment horizontal="right" vertical="center"/>
    </xf>
    <xf numFmtId="166" fontId="21" fillId="6" borderId="21" xfId="10" applyNumberFormat="1" applyFont="1" applyFill="1" applyBorder="1" applyAlignment="1">
      <alignment horizontal="right" vertical="center"/>
    </xf>
    <xf numFmtId="3" fontId="8" fillId="8" borderId="88" xfId="10" applyNumberFormat="1" applyFont="1" applyFill="1" applyBorder="1" applyAlignment="1">
      <alignment horizontal="right" vertical="center"/>
    </xf>
    <xf numFmtId="166" fontId="21" fillId="6" borderId="40" xfId="10" applyNumberFormat="1" applyFont="1" applyFill="1" applyBorder="1" applyAlignment="1">
      <alignment horizontal="right" vertical="center"/>
    </xf>
    <xf numFmtId="3" fontId="8" fillId="7" borderId="89" xfId="10" applyNumberFormat="1" applyFont="1" applyFill="1" applyBorder="1" applyAlignment="1">
      <alignment horizontal="right" vertical="center"/>
    </xf>
    <xf numFmtId="0" fontId="17" fillId="6" borderId="23" xfId="10" applyFont="1" applyFill="1" applyBorder="1" applyAlignment="1">
      <alignment vertical="center"/>
    </xf>
    <xf numFmtId="3" fontId="6" fillId="6" borderId="23" xfId="10" applyNumberFormat="1" applyFont="1" applyFill="1" applyBorder="1" applyAlignment="1">
      <alignment horizontal="right" vertical="center"/>
    </xf>
    <xf numFmtId="166" fontId="21" fillId="6" borderId="85" xfId="10" applyNumberFormat="1" applyFont="1" applyFill="1" applyBorder="1" applyAlignment="1">
      <alignment horizontal="right" vertical="center"/>
    </xf>
    <xf numFmtId="3" fontId="8" fillId="8" borderId="86" xfId="10" applyNumberFormat="1" applyFont="1" applyFill="1" applyBorder="1" applyAlignment="1">
      <alignment horizontal="right" vertical="center"/>
    </xf>
    <xf numFmtId="166" fontId="21" fillId="6" borderId="25" xfId="10" applyNumberFormat="1" applyFont="1" applyFill="1" applyBorder="1" applyAlignment="1">
      <alignment horizontal="right" vertical="center"/>
    </xf>
    <xf numFmtId="3" fontId="8" fillId="7" borderId="87" xfId="10" applyNumberFormat="1" applyFont="1" applyFill="1" applyBorder="1" applyAlignment="1">
      <alignment horizontal="right" vertical="center"/>
    </xf>
    <xf numFmtId="0" fontId="17" fillId="6" borderId="34" xfId="10" applyFont="1" applyFill="1" applyBorder="1" applyAlignment="1">
      <alignment vertical="center"/>
    </xf>
    <xf numFmtId="166" fontId="21" fillId="6" borderId="19" xfId="10" applyNumberFormat="1" applyFont="1" applyFill="1" applyBorder="1" applyAlignment="1">
      <alignment horizontal="right" vertical="center"/>
    </xf>
    <xf numFmtId="0" fontId="17" fillId="6" borderId="18" xfId="10" applyFont="1" applyFill="1" applyBorder="1" applyAlignment="1">
      <alignment vertical="center"/>
    </xf>
    <xf numFmtId="3" fontId="17" fillId="6" borderId="17" xfId="10" applyNumberFormat="1" applyFont="1" applyFill="1" applyBorder="1" applyAlignment="1">
      <alignment horizontal="right" vertical="center"/>
    </xf>
    <xf numFmtId="3" fontId="24" fillId="8" borderId="90" xfId="10" applyNumberFormat="1" applyFont="1" applyFill="1" applyBorder="1" applyAlignment="1">
      <alignment horizontal="right" vertical="center"/>
    </xf>
    <xf numFmtId="3" fontId="24" fillId="7" borderId="91" xfId="10" applyNumberFormat="1" applyFont="1" applyFill="1" applyBorder="1" applyAlignment="1">
      <alignment horizontal="right" vertical="center"/>
    </xf>
    <xf numFmtId="0" fontId="17" fillId="6" borderId="66" xfId="10" applyFont="1" applyFill="1" applyBorder="1" applyAlignment="1">
      <alignment vertical="center"/>
    </xf>
    <xf numFmtId="0" fontId="17" fillId="6" borderId="21" xfId="10" applyFont="1" applyFill="1" applyBorder="1" applyAlignment="1">
      <alignment vertical="center"/>
    </xf>
    <xf numFmtId="0" fontId="17" fillId="6" borderId="54" xfId="10" applyFont="1" applyFill="1" applyBorder="1" applyAlignment="1">
      <alignment vertical="center"/>
    </xf>
    <xf numFmtId="0" fontId="17" fillId="6" borderId="16" xfId="10" applyFont="1" applyFill="1" applyBorder="1" applyAlignment="1">
      <alignment vertical="center"/>
    </xf>
    <xf numFmtId="3" fontId="17" fillId="6" borderId="54" xfId="10" applyNumberFormat="1" applyFont="1" applyFill="1" applyBorder="1" applyAlignment="1">
      <alignment horizontal="right" vertical="center"/>
    </xf>
    <xf numFmtId="3" fontId="17" fillId="6" borderId="14" xfId="10" applyNumberFormat="1" applyFont="1" applyFill="1" applyBorder="1" applyAlignment="1">
      <alignment horizontal="right" vertical="center"/>
    </xf>
    <xf numFmtId="3" fontId="24" fillId="8" borderId="88" xfId="10" applyNumberFormat="1" applyFont="1" applyFill="1" applyBorder="1" applyAlignment="1">
      <alignment horizontal="right" vertical="center"/>
    </xf>
    <xf numFmtId="3" fontId="24" fillId="7" borderId="89" xfId="10" applyNumberFormat="1" applyFont="1" applyFill="1" applyBorder="1" applyAlignment="1">
      <alignment horizontal="right" vertical="center"/>
    </xf>
    <xf numFmtId="0" fontId="17" fillId="6" borderId="17" xfId="10" applyFont="1" applyFill="1" applyBorder="1" applyAlignment="1">
      <alignment vertical="center"/>
    </xf>
    <xf numFmtId="0" fontId="17" fillId="6" borderId="92" xfId="10" applyFont="1" applyFill="1" applyBorder="1" applyAlignment="1">
      <alignment vertical="center"/>
    </xf>
    <xf numFmtId="0" fontId="17" fillId="6" borderId="93" xfId="10" applyFont="1" applyFill="1" applyBorder="1" applyAlignment="1">
      <alignment vertical="center"/>
    </xf>
    <xf numFmtId="0" fontId="17" fillId="6" borderId="1" xfId="10" applyFont="1" applyFill="1" applyBorder="1" applyAlignment="1">
      <alignment vertical="center"/>
    </xf>
    <xf numFmtId="0" fontId="17" fillId="6" borderId="3" xfId="10" applyFont="1" applyFill="1" applyBorder="1" applyAlignment="1">
      <alignment vertical="center"/>
    </xf>
    <xf numFmtId="0" fontId="6" fillId="6" borderId="3" xfId="10" applyFont="1" applyFill="1" applyBorder="1" applyAlignment="1">
      <alignment vertical="center"/>
    </xf>
    <xf numFmtId="0" fontId="6" fillId="6" borderId="77" xfId="10" applyFont="1" applyFill="1" applyBorder="1" applyAlignment="1">
      <alignment vertical="center"/>
    </xf>
    <xf numFmtId="3" fontId="6" fillId="6" borderId="2" xfId="10" applyNumberFormat="1" applyFont="1" applyFill="1" applyBorder="1" applyAlignment="1">
      <alignment horizontal="right" vertical="center"/>
    </xf>
    <xf numFmtId="166" fontId="21" fillId="6" borderId="41" xfId="10" applyNumberFormat="1" applyFont="1" applyFill="1" applyBorder="1" applyAlignment="1">
      <alignment horizontal="right" vertical="center"/>
    </xf>
    <xf numFmtId="166" fontId="21" fillId="6" borderId="3" xfId="10" applyNumberFormat="1" applyFont="1" applyFill="1" applyBorder="1" applyAlignment="1">
      <alignment horizontal="right" vertical="center"/>
    </xf>
    <xf numFmtId="3" fontId="8" fillId="8" borderId="94" xfId="10" applyNumberFormat="1" applyFont="1" applyFill="1" applyBorder="1" applyAlignment="1">
      <alignment horizontal="right" vertical="center"/>
    </xf>
    <xf numFmtId="166" fontId="21" fillId="6" borderId="4" xfId="10" applyNumberFormat="1" applyFont="1" applyFill="1" applyBorder="1" applyAlignment="1">
      <alignment horizontal="right" vertical="center"/>
    </xf>
    <xf numFmtId="3" fontId="8" fillId="7" borderId="95" xfId="10" applyNumberFormat="1" applyFont="1" applyFill="1" applyBorder="1" applyAlignment="1">
      <alignment horizontal="right" vertical="center"/>
    </xf>
    <xf numFmtId="0" fontId="17" fillId="0" borderId="20" xfId="10" applyFont="1" applyBorder="1" applyAlignment="1">
      <alignment vertical="center"/>
    </xf>
    <xf numFmtId="0" fontId="17" fillId="0" borderId="21" xfId="10" applyFont="1" applyBorder="1" applyAlignment="1">
      <alignment vertical="center"/>
    </xf>
    <xf numFmtId="3" fontId="6" fillId="6" borderId="54" xfId="10" applyNumberFormat="1" applyFont="1" applyFill="1" applyBorder="1" applyAlignment="1">
      <alignment horizontal="right" vertical="center"/>
    </xf>
    <xf numFmtId="0" fontId="17" fillId="0" borderId="27" xfId="10" applyFont="1" applyBorder="1" applyAlignment="1">
      <alignment vertical="center"/>
    </xf>
    <xf numFmtId="0" fontId="17" fillId="0" borderId="54" xfId="10" applyFont="1" applyBorder="1" applyAlignment="1">
      <alignment vertical="center"/>
    </xf>
    <xf numFmtId="0" fontId="17" fillId="0" borderId="16" xfId="10" applyFont="1" applyBorder="1" applyAlignment="1">
      <alignment vertical="center"/>
    </xf>
    <xf numFmtId="0" fontId="17" fillId="6" borderId="77" xfId="10" applyFont="1" applyFill="1" applyBorder="1" applyAlignment="1">
      <alignment vertical="center"/>
    </xf>
    <xf numFmtId="3" fontId="6" fillId="0" borderId="2" xfId="3" applyNumberFormat="1" applyFont="1" applyBorder="1" applyAlignment="1">
      <alignment horizontal="right" vertical="center"/>
    </xf>
    <xf numFmtId="3" fontId="8" fillId="8" borderId="94" xfId="3" applyNumberFormat="1" applyFont="1" applyFill="1" applyBorder="1" applyAlignment="1">
      <alignment horizontal="right" vertical="center"/>
    </xf>
    <xf numFmtId="3" fontId="8" fillId="7" borderId="95" xfId="3" applyNumberFormat="1" applyFont="1" applyFill="1" applyBorder="1" applyAlignment="1">
      <alignment horizontal="right" vertical="center"/>
    </xf>
    <xf numFmtId="0" fontId="17" fillId="6" borderId="43" xfId="10" applyFont="1" applyFill="1" applyBorder="1" applyAlignment="1">
      <alignment vertical="center"/>
    </xf>
    <xf numFmtId="0" fontId="17" fillId="0" borderId="93" xfId="10" applyFont="1" applyBorder="1" applyAlignment="1">
      <alignment vertical="center"/>
    </xf>
    <xf numFmtId="3" fontId="6" fillId="0" borderId="17" xfId="10" applyNumberFormat="1" applyFont="1" applyBorder="1" applyAlignment="1">
      <alignment horizontal="right" vertical="center"/>
    </xf>
    <xf numFmtId="166" fontId="21" fillId="0" borderId="44" xfId="10" applyNumberFormat="1" applyFont="1" applyBorder="1" applyAlignment="1">
      <alignment horizontal="right" vertical="center"/>
    </xf>
    <xf numFmtId="166" fontId="21" fillId="0" borderId="18" xfId="10" applyNumberFormat="1" applyFont="1" applyBorder="1" applyAlignment="1">
      <alignment horizontal="right" vertical="center"/>
    </xf>
    <xf numFmtId="3" fontId="29" fillId="8" borderId="90" xfId="10" applyNumberFormat="1" applyFont="1" applyFill="1" applyBorder="1" applyAlignment="1">
      <alignment horizontal="right" vertical="center"/>
    </xf>
    <xf numFmtId="166" fontId="21" fillId="6" borderId="12" xfId="10" applyNumberFormat="1" applyFont="1" applyFill="1" applyBorder="1" applyAlignment="1">
      <alignment horizontal="right" vertical="center"/>
    </xf>
    <xf numFmtId="3" fontId="29" fillId="7" borderId="91" xfId="10" applyNumberFormat="1" applyFont="1" applyFill="1" applyBorder="1" applyAlignment="1">
      <alignment horizontal="right" vertical="center"/>
    </xf>
    <xf numFmtId="3" fontId="6" fillId="0" borderId="14" xfId="10" applyNumberFormat="1" applyFont="1" applyBorder="1" applyAlignment="1">
      <alignment horizontal="right" vertical="center"/>
    </xf>
    <xf numFmtId="166" fontId="21" fillId="0" borderId="16" xfId="10" applyNumberFormat="1" applyFont="1" applyBorder="1" applyAlignment="1">
      <alignment horizontal="right" vertical="center"/>
    </xf>
    <xf numFmtId="166" fontId="21" fillId="0" borderId="21" xfId="10" applyNumberFormat="1" applyFont="1" applyBorder="1" applyAlignment="1">
      <alignment horizontal="right" vertical="center"/>
    </xf>
    <xf numFmtId="3" fontId="8" fillId="8" borderId="90" xfId="10" applyNumberFormat="1" applyFont="1" applyFill="1" applyBorder="1" applyAlignment="1">
      <alignment horizontal="right" vertical="center"/>
    </xf>
    <xf numFmtId="3" fontId="8" fillId="7" borderId="91" xfId="10" applyNumberFormat="1" applyFont="1" applyFill="1" applyBorder="1" applyAlignment="1">
      <alignment horizontal="right" vertical="center"/>
    </xf>
    <xf numFmtId="0" fontId="17" fillId="0" borderId="81" xfId="10" applyFont="1" applyBorder="1" applyAlignment="1">
      <alignment vertical="center"/>
    </xf>
    <xf numFmtId="0" fontId="25" fillId="6" borderId="1" xfId="10" applyFont="1" applyFill="1" applyBorder="1" applyAlignment="1">
      <alignment vertical="center"/>
    </xf>
    <xf numFmtId="0" fontId="25" fillId="6" borderId="3" xfId="10" applyFont="1" applyFill="1" applyBorder="1" applyAlignment="1">
      <alignment vertical="center" wrapText="1"/>
    </xf>
    <xf numFmtId="0" fontId="23" fillId="6" borderId="3" xfId="10" applyFont="1" applyFill="1" applyBorder="1" applyAlignment="1">
      <alignment vertical="center"/>
    </xf>
    <xf numFmtId="0" fontId="23" fillId="6" borderId="77" xfId="10" applyFont="1" applyFill="1" applyBorder="1" applyAlignment="1">
      <alignment vertical="center" wrapText="1"/>
    </xf>
    <xf numFmtId="3" fontId="23" fillId="6" borderId="2" xfId="10" applyNumberFormat="1" applyFont="1" applyFill="1" applyBorder="1" applyAlignment="1">
      <alignment horizontal="right" vertical="center"/>
    </xf>
    <xf numFmtId="166" fontId="26" fillId="6" borderId="41" xfId="10" applyNumberFormat="1" applyFont="1" applyFill="1" applyBorder="1" applyAlignment="1">
      <alignment horizontal="right" vertical="center"/>
    </xf>
    <xf numFmtId="166" fontId="27" fillId="6" borderId="3" xfId="10" applyNumberFormat="1" applyFont="1" applyFill="1" applyBorder="1" applyAlignment="1">
      <alignment horizontal="right" vertical="center"/>
    </xf>
    <xf numFmtId="3" fontId="28" fillId="8" borderId="94" xfId="10" applyNumberFormat="1" applyFont="1" applyFill="1" applyBorder="1" applyAlignment="1">
      <alignment horizontal="right" vertical="center"/>
    </xf>
    <xf numFmtId="166" fontId="27" fillId="6" borderId="4" xfId="10" applyNumberFormat="1" applyFont="1" applyFill="1" applyBorder="1" applyAlignment="1">
      <alignment horizontal="right" vertical="center"/>
    </xf>
    <xf numFmtId="0" fontId="31" fillId="0" borderId="64" xfId="10" applyFont="1" applyBorder="1" applyAlignment="1">
      <alignment vertical="center"/>
    </xf>
    <xf numFmtId="0" fontId="31" fillId="0" borderId="0" xfId="10" applyFont="1" applyAlignment="1">
      <alignment vertical="center"/>
    </xf>
    <xf numFmtId="0" fontId="32" fillId="0" borderId="0" xfId="10" applyFont="1" applyAlignment="1">
      <alignment vertical="center"/>
    </xf>
    <xf numFmtId="3" fontId="31" fillId="0" borderId="0" xfId="10" applyNumberFormat="1" applyFont="1" applyAlignment="1">
      <alignment horizontal="right" vertical="center"/>
    </xf>
    <xf numFmtId="166" fontId="31" fillId="0" borderId="0" xfId="10" applyNumberFormat="1" applyFont="1" applyAlignment="1">
      <alignment horizontal="right" vertical="center"/>
    </xf>
    <xf numFmtId="0" fontId="31" fillId="0" borderId="0" xfId="10" applyFont="1" applyAlignment="1">
      <alignment horizontal="right" vertical="center"/>
    </xf>
    <xf numFmtId="3" fontId="31" fillId="0" borderId="68" xfId="10" applyNumberFormat="1" applyFont="1" applyBorder="1" applyAlignment="1">
      <alignment horizontal="right" vertical="center"/>
    </xf>
    <xf numFmtId="0" fontId="31" fillId="0" borderId="78" xfId="10" applyFont="1" applyBorder="1" applyAlignment="1">
      <alignment horizontal="right" vertical="center"/>
    </xf>
    <xf numFmtId="0" fontId="23" fillId="6" borderId="20" xfId="10" applyFont="1" applyFill="1" applyBorder="1" applyAlignment="1">
      <alignment vertical="center"/>
    </xf>
    <xf numFmtId="0" fontId="23" fillId="6" borderId="14" xfId="10" applyFont="1" applyFill="1" applyBorder="1" applyAlignment="1">
      <alignment vertical="center"/>
    </xf>
    <xf numFmtId="0" fontId="6" fillId="6" borderId="21" xfId="10" applyFont="1" applyFill="1" applyBorder="1" applyAlignment="1">
      <alignment vertical="center"/>
    </xf>
    <xf numFmtId="0" fontId="14" fillId="6" borderId="54" xfId="10" applyFont="1" applyFill="1" applyBorder="1" applyAlignment="1">
      <alignment vertical="center"/>
    </xf>
    <xf numFmtId="166" fontId="26" fillId="6" borderId="16" xfId="10" applyNumberFormat="1" applyFont="1" applyFill="1" applyBorder="1" applyAlignment="1">
      <alignment horizontal="right" vertical="center"/>
    </xf>
    <xf numFmtId="166" fontId="26" fillId="6" borderId="21" xfId="10" applyNumberFormat="1" applyFont="1" applyFill="1" applyBorder="1" applyAlignment="1">
      <alignment horizontal="right" vertical="center"/>
    </xf>
    <xf numFmtId="166" fontId="26" fillId="6" borderId="19" xfId="10" applyNumberFormat="1" applyFont="1" applyFill="1" applyBorder="1" applyAlignment="1">
      <alignment horizontal="right" vertical="center"/>
    </xf>
    <xf numFmtId="3" fontId="6" fillId="7" borderId="89" xfId="10" applyNumberFormat="1" applyFont="1" applyFill="1" applyBorder="1" applyAlignment="1">
      <alignment horizontal="right" vertical="center"/>
    </xf>
    <xf numFmtId="0" fontId="23" fillId="6" borderId="33" xfId="10" applyFont="1" applyFill="1" applyBorder="1" applyAlignment="1">
      <alignment vertical="center"/>
    </xf>
    <xf numFmtId="0" fontId="23" fillId="6" borderId="34" xfId="10" applyFont="1" applyFill="1" applyBorder="1" applyAlignment="1">
      <alignment vertical="center"/>
    </xf>
    <xf numFmtId="0" fontId="6" fillId="6" borderId="35" xfId="10" applyFont="1" applyFill="1" applyBorder="1" applyAlignment="1">
      <alignment vertical="center"/>
    </xf>
    <xf numFmtId="0" fontId="14" fillId="6" borderId="81" xfId="10" applyFont="1" applyFill="1" applyBorder="1" applyAlignment="1">
      <alignment vertical="center"/>
    </xf>
    <xf numFmtId="3" fontId="6" fillId="6" borderId="34" xfId="10" applyNumberFormat="1" applyFont="1" applyFill="1" applyBorder="1" applyAlignment="1">
      <alignment horizontal="right" vertical="center"/>
    </xf>
    <xf numFmtId="166" fontId="26" fillId="6" borderId="36" xfId="10" applyNumberFormat="1" applyFont="1" applyFill="1" applyBorder="1" applyAlignment="1">
      <alignment horizontal="right" vertical="center"/>
    </xf>
    <xf numFmtId="166" fontId="26" fillId="6" borderId="35" xfId="10" applyNumberFormat="1" applyFont="1" applyFill="1" applyBorder="1" applyAlignment="1">
      <alignment horizontal="right" vertical="center"/>
    </xf>
    <xf numFmtId="166" fontId="26" fillId="6" borderId="37" xfId="10" applyNumberFormat="1" applyFont="1" applyFill="1" applyBorder="1" applyAlignment="1">
      <alignment horizontal="right" vertical="center"/>
    </xf>
    <xf numFmtId="3" fontId="6" fillId="7" borderId="83" xfId="10" applyNumberFormat="1" applyFont="1" applyFill="1" applyBorder="1" applyAlignment="1">
      <alignment horizontal="right" vertical="center"/>
    </xf>
    <xf numFmtId="0" fontId="14" fillId="6" borderId="1" xfId="10" applyFont="1" applyFill="1" applyBorder="1" applyAlignment="1">
      <alignment vertical="center"/>
    </xf>
    <xf numFmtId="0" fontId="14" fillId="6" borderId="2" xfId="10" applyFont="1" applyFill="1" applyBorder="1" applyAlignment="1">
      <alignment vertical="center"/>
    </xf>
    <xf numFmtId="3" fontId="14" fillId="6" borderId="2" xfId="10" applyNumberFormat="1" applyFont="1" applyFill="1" applyBorder="1" applyAlignment="1">
      <alignment horizontal="right" vertical="center"/>
    </xf>
    <xf numFmtId="0" fontId="5" fillId="0" borderId="0" xfId="10" applyFont="1" applyAlignment="1">
      <alignment vertical="center"/>
    </xf>
    <xf numFmtId="166" fontId="5" fillId="0" borderId="0" xfId="10" applyNumberFormat="1" applyFont="1" applyAlignment="1">
      <alignment vertical="center"/>
    </xf>
    <xf numFmtId="3" fontId="5" fillId="0" borderId="0" xfId="10" applyNumberFormat="1" applyFont="1" applyAlignment="1">
      <alignment vertical="center"/>
    </xf>
    <xf numFmtId="166" fontId="6" fillId="0" borderId="0" xfId="10" applyNumberFormat="1" applyFont="1" applyAlignment="1">
      <alignment vertical="center"/>
    </xf>
    <xf numFmtId="3" fontId="5" fillId="0" borderId="0" xfId="10" applyNumberFormat="1" applyFont="1" applyAlignment="1">
      <alignment horizontal="right" vertical="center"/>
    </xf>
    <xf numFmtId="0" fontId="6" fillId="0" borderId="0" xfId="10" applyFont="1" applyAlignment="1">
      <alignment vertical="center"/>
    </xf>
    <xf numFmtId="0" fontId="14" fillId="0" borderId="0" xfId="10" applyFont="1" applyAlignment="1">
      <alignment vertical="center"/>
    </xf>
    <xf numFmtId="166" fontId="6" fillId="0" borderId="14" xfId="10" applyNumberFormat="1" applyFont="1" applyBorder="1" applyAlignment="1">
      <alignment vertical="center"/>
    </xf>
    <xf numFmtId="3" fontId="5" fillId="0" borderId="14" xfId="10" applyNumberFormat="1" applyFont="1" applyBorder="1" applyAlignment="1">
      <alignment horizontal="right" vertical="center"/>
    </xf>
    <xf numFmtId="0" fontId="34" fillId="0" borderId="0" xfId="3" applyFont="1" applyAlignment="1">
      <alignment horizontal="right" vertical="center"/>
    </xf>
    <xf numFmtId="0" fontId="35" fillId="0" borderId="0" xfId="5" applyFont="1" applyAlignment="1">
      <alignment horizontal="left" vertical="center"/>
    </xf>
    <xf numFmtId="0" fontId="36" fillId="0" borderId="0" xfId="5" applyFont="1" applyAlignment="1">
      <alignment horizontal="left" vertical="center"/>
    </xf>
    <xf numFmtId="0" fontId="37" fillId="0" borderId="0" xfId="5" applyFont="1" applyAlignment="1">
      <alignment horizontal="center" vertical="center"/>
    </xf>
    <xf numFmtId="0" fontId="8" fillId="0" borderId="0" xfId="5" applyFont="1" applyAlignment="1">
      <alignment vertical="center"/>
    </xf>
    <xf numFmtId="0" fontId="8" fillId="0" borderId="0" xfId="5" applyFont="1" applyAlignment="1">
      <alignment horizontal="left" vertical="center" wrapText="1" indent="1"/>
    </xf>
    <xf numFmtId="3" fontId="8" fillId="0" borderId="0" xfId="5" applyNumberFormat="1" applyFont="1" applyAlignment="1">
      <alignment horizontal="left" vertical="center" wrapText="1" indent="1"/>
    </xf>
    <xf numFmtId="0" fontId="38" fillId="0" borderId="0" xfId="5" applyFont="1" applyAlignment="1">
      <alignment vertical="center"/>
    </xf>
    <xf numFmtId="3" fontId="38" fillId="0" borderId="0" xfId="5" applyNumberFormat="1" applyFont="1" applyAlignment="1">
      <alignment horizontal="right" vertical="center" indent="1"/>
    </xf>
    <xf numFmtId="0" fontId="5" fillId="0" borderId="1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41" xfId="5" applyFont="1" applyBorder="1" applyAlignment="1">
      <alignment horizontal="center" vertical="center" wrapText="1"/>
    </xf>
    <xf numFmtId="3" fontId="7" fillId="0" borderId="4" xfId="5" applyNumberFormat="1" applyFont="1" applyBorder="1" applyAlignment="1">
      <alignment horizontal="center" vertical="center" wrapText="1"/>
    </xf>
    <xf numFmtId="0" fontId="8" fillId="0" borderId="96" xfId="5" applyFont="1" applyBorder="1" applyAlignment="1">
      <alignment horizontal="center" vertical="center" wrapText="1"/>
    </xf>
    <xf numFmtId="0" fontId="8" fillId="0" borderId="97" xfId="5" applyFont="1" applyBorder="1" applyAlignment="1">
      <alignment horizontal="left" vertical="center" wrapText="1" indent="1"/>
    </xf>
    <xf numFmtId="3" fontId="8" fillId="0" borderId="99" xfId="5" applyNumberFormat="1" applyFont="1" applyBorder="1" applyAlignment="1">
      <alignment horizontal="right" vertical="center" wrapText="1" indent="1"/>
    </xf>
    <xf numFmtId="3" fontId="8" fillId="0" borderId="97" xfId="5" applyNumberFormat="1" applyFont="1" applyBorder="1" applyAlignment="1">
      <alignment horizontal="right" vertical="center" wrapText="1" indent="1"/>
    </xf>
    <xf numFmtId="0" fontId="8" fillId="0" borderId="100" xfId="5" applyFont="1" applyBorder="1" applyAlignment="1">
      <alignment horizontal="center" vertical="center" wrapText="1"/>
    </xf>
    <xf numFmtId="0" fontId="8" fillId="0" borderId="101" xfId="5" applyFont="1" applyBorder="1" applyAlignment="1">
      <alignment horizontal="left" vertical="center" wrapText="1" indent="1"/>
    </xf>
    <xf numFmtId="3" fontId="8" fillId="0" borderId="103" xfId="5" applyNumberFormat="1" applyFont="1" applyBorder="1" applyAlignment="1">
      <alignment horizontal="right" vertical="center" wrapText="1" indent="1"/>
    </xf>
    <xf numFmtId="0" fontId="5" fillId="0" borderId="1" xfId="5" applyFont="1" applyBorder="1" applyAlignment="1">
      <alignment vertical="center"/>
    </xf>
    <xf numFmtId="0" fontId="5" fillId="0" borderId="4" xfId="5" applyFont="1" applyBorder="1" applyAlignment="1">
      <alignment horizontal="left" vertical="center" indent="1"/>
    </xf>
    <xf numFmtId="3" fontId="7" fillId="0" borderId="104" xfId="5" applyNumberFormat="1" applyFont="1" applyBorder="1" applyAlignment="1">
      <alignment horizontal="right" vertical="center" indent="1"/>
    </xf>
    <xf numFmtId="0" fontId="4" fillId="0" borderId="0" xfId="5" applyFont="1" applyAlignment="1">
      <alignment vertical="center"/>
    </xf>
    <xf numFmtId="0" fontId="4" fillId="0" borderId="0" xfId="0" applyFont="1"/>
    <xf numFmtId="0" fontId="39" fillId="0" borderId="0" xfId="5" applyFont="1" applyAlignment="1">
      <alignment vertical="center"/>
    </xf>
    <xf numFmtId="0" fontId="40" fillId="0" borderId="0" xfId="5" applyFont="1" applyAlignment="1">
      <alignment vertical="center"/>
    </xf>
    <xf numFmtId="0" fontId="41" fillId="0" borderId="0" xfId="5" applyFont="1" applyAlignment="1">
      <alignment vertical="center"/>
    </xf>
    <xf numFmtId="0" fontId="42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3" fontId="38" fillId="0" borderId="14" xfId="5" applyNumberFormat="1" applyFont="1" applyBorder="1" applyAlignment="1">
      <alignment horizontal="right" vertical="center" indent="1"/>
    </xf>
    <xf numFmtId="0" fontId="38" fillId="0" borderId="13" xfId="5" applyFont="1" applyBorder="1" applyAlignment="1">
      <alignment horizontal="center" vertical="center" wrapText="1"/>
    </xf>
    <xf numFmtId="0" fontId="38" fillId="0" borderId="10" xfId="5" applyFont="1" applyBorder="1" applyAlignment="1">
      <alignment horizontal="left" vertical="center" wrapText="1" indent="1"/>
    </xf>
    <xf numFmtId="3" fontId="38" fillId="0" borderId="10" xfId="5" applyNumberFormat="1" applyFont="1" applyBorder="1" applyAlignment="1">
      <alignment horizontal="right" vertical="center" wrapText="1" indent="1"/>
    </xf>
    <xf numFmtId="3" fontId="38" fillId="0" borderId="15" xfId="5" applyNumberFormat="1" applyFont="1" applyBorder="1" applyAlignment="1">
      <alignment horizontal="right" vertical="center" indent="1"/>
    </xf>
    <xf numFmtId="0" fontId="38" fillId="0" borderId="20" xfId="5" applyFont="1" applyBorder="1" applyAlignment="1">
      <alignment horizontal="center" vertical="center" wrapText="1"/>
    </xf>
    <xf numFmtId="0" fontId="38" fillId="0" borderId="14" xfId="5" applyFont="1" applyBorder="1" applyAlignment="1">
      <alignment horizontal="left" vertical="center" wrapText="1" indent="1"/>
    </xf>
    <xf numFmtId="3" fontId="38" fillId="0" borderId="14" xfId="5" applyNumberFormat="1" applyFont="1" applyBorder="1" applyAlignment="1">
      <alignment horizontal="right" vertical="center" wrapText="1" indent="1"/>
    </xf>
    <xf numFmtId="3" fontId="38" fillId="0" borderId="19" xfId="5" applyNumberFormat="1" applyFont="1" applyBorder="1" applyAlignment="1">
      <alignment horizontal="right" vertical="center" indent="1"/>
    </xf>
    <xf numFmtId="0" fontId="38" fillId="0" borderId="22" xfId="5" applyFont="1" applyBorder="1" applyAlignment="1">
      <alignment horizontal="center" vertical="center" wrapText="1"/>
    </xf>
    <xf numFmtId="0" fontId="38" fillId="0" borderId="23" xfId="5" applyFont="1" applyBorder="1" applyAlignment="1">
      <alignment horizontal="left" vertical="center" wrapText="1" indent="1"/>
    </xf>
    <xf numFmtId="3" fontId="38" fillId="0" borderId="23" xfId="5" applyNumberFormat="1" applyFont="1" applyBorder="1" applyAlignment="1">
      <alignment horizontal="right" vertical="center" wrapText="1" indent="1"/>
    </xf>
    <xf numFmtId="3" fontId="38" fillId="0" borderId="26" xfId="5" applyNumberFormat="1" applyFont="1" applyBorder="1" applyAlignment="1">
      <alignment horizontal="right" vertical="center" indent="1"/>
    </xf>
    <xf numFmtId="3" fontId="44" fillId="0" borderId="30" xfId="5" applyNumberFormat="1" applyFont="1" applyBorder="1" applyAlignment="1">
      <alignment horizontal="right" vertical="center" indent="1"/>
    </xf>
    <xf numFmtId="3" fontId="44" fillId="0" borderId="31" xfId="5" applyNumberFormat="1" applyFont="1" applyBorder="1" applyAlignment="1">
      <alignment horizontal="right" vertical="center" indent="1"/>
    </xf>
    <xf numFmtId="3" fontId="7" fillId="2" borderId="47" xfId="8" applyNumberFormat="1" applyFont="1" applyFill="1" applyBorder="1" applyAlignment="1">
      <alignment horizontal="right" vertical="center" indent="1"/>
    </xf>
    <xf numFmtId="3" fontId="7" fillId="3" borderId="40" xfId="8" applyNumberFormat="1" applyFont="1" applyFill="1" applyBorder="1" applyAlignment="1">
      <alignment horizontal="right" vertical="center" indent="1"/>
    </xf>
    <xf numFmtId="3" fontId="7" fillId="2" borderId="40" xfId="8" applyNumberFormat="1" applyFont="1" applyFill="1" applyBorder="1" applyAlignment="1">
      <alignment horizontal="right" vertical="center" indent="1"/>
    </xf>
    <xf numFmtId="3" fontId="7" fillId="4" borderId="40" xfId="8" applyNumberFormat="1" applyFont="1" applyFill="1" applyBorder="1" applyAlignment="1">
      <alignment horizontal="right" vertical="center" indent="1"/>
    </xf>
    <xf numFmtId="3" fontId="7" fillId="5" borderId="40" xfId="8" applyNumberFormat="1" applyFont="1" applyFill="1" applyBorder="1" applyAlignment="1">
      <alignment horizontal="right" vertical="center" indent="1"/>
    </xf>
    <xf numFmtId="3" fontId="7" fillId="5" borderId="48" xfId="8" applyNumberFormat="1" applyFont="1" applyFill="1" applyBorder="1" applyAlignment="1">
      <alignment horizontal="right" vertical="center" indent="1"/>
    </xf>
    <xf numFmtId="3" fontId="8" fillId="0" borderId="13" xfId="8" applyNumberFormat="1" applyFont="1" applyBorder="1" applyAlignment="1">
      <alignment horizontal="right" vertical="center" indent="1"/>
    </xf>
    <xf numFmtId="3" fontId="8" fillId="0" borderId="20" xfId="8" applyNumberFormat="1" applyFont="1" applyBorder="1" applyAlignment="1">
      <alignment horizontal="right" vertical="center" indent="1"/>
    </xf>
    <xf numFmtId="3" fontId="7" fillId="0" borderId="45" xfId="8" applyNumberFormat="1" applyFont="1" applyBorder="1" applyAlignment="1">
      <alignment horizontal="right" vertical="center" indent="1"/>
    </xf>
    <xf numFmtId="3" fontId="8" fillId="0" borderId="33" xfId="8" applyNumberFormat="1" applyFont="1" applyBorder="1" applyAlignment="1">
      <alignment horizontal="right" vertical="center" indent="1"/>
    </xf>
    <xf numFmtId="3" fontId="7" fillId="0" borderId="1" xfId="8" applyNumberFormat="1" applyFont="1" applyBorder="1" applyAlignment="1">
      <alignment horizontal="right" vertical="center" indent="1"/>
    </xf>
    <xf numFmtId="0" fontId="3" fillId="0" borderId="0" xfId="3" applyFont="1" applyAlignment="1">
      <alignment vertical="center"/>
    </xf>
    <xf numFmtId="9" fontId="12" fillId="10" borderId="42" xfId="0" applyNumberFormat="1" applyFont="1" applyFill="1" applyBorder="1"/>
    <xf numFmtId="9" fontId="12" fillId="10" borderId="77" xfId="0" applyNumberFormat="1" applyFont="1" applyFill="1" applyBorder="1"/>
    <xf numFmtId="0" fontId="0" fillId="10" borderId="22" xfId="0" applyFill="1" applyBorder="1" applyAlignment="1">
      <alignment horizontal="center"/>
    </xf>
    <xf numFmtId="0" fontId="0" fillId="10" borderId="84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22" xfId="0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 vertical="center" wrapText="1"/>
    </xf>
    <xf numFmtId="0" fontId="0" fillId="11" borderId="64" xfId="0" applyFill="1" applyBorder="1" applyAlignment="1">
      <alignment horizontal="center" vertical="center"/>
    </xf>
    <xf numFmtId="0" fontId="8" fillId="11" borderId="49" xfId="5" applyFont="1" applyFill="1" applyBorder="1" applyAlignment="1">
      <alignment horizontal="left" vertical="center" wrapText="1" indent="1"/>
    </xf>
    <xf numFmtId="0" fontId="8" fillId="11" borderId="50" xfId="5" applyFont="1" applyFill="1" applyBorder="1" applyAlignment="1">
      <alignment horizontal="left" vertical="center" wrapText="1" indent="1"/>
    </xf>
    <xf numFmtId="0" fontId="0" fillId="11" borderId="71" xfId="0" applyFill="1" applyBorder="1" applyAlignment="1">
      <alignment horizontal="center" vertical="center"/>
    </xf>
    <xf numFmtId="0" fontId="8" fillId="11" borderId="51" xfId="5" applyFont="1" applyFill="1" applyBorder="1" applyAlignment="1">
      <alignment horizontal="left" vertical="center" wrapText="1" indent="1"/>
    </xf>
    <xf numFmtId="0" fontId="0" fillId="11" borderId="56" xfId="0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2" fillId="11" borderId="46" xfId="0" applyFont="1" applyFill="1" applyBorder="1" applyAlignment="1">
      <alignment horizontal="center"/>
    </xf>
    <xf numFmtId="0" fontId="0" fillId="10" borderId="107" xfId="0" applyFill="1" applyBorder="1" applyAlignment="1">
      <alignment horizontal="center"/>
    </xf>
    <xf numFmtId="0" fontId="0" fillId="10" borderId="24" xfId="0" applyFill="1" applyBorder="1" applyAlignment="1">
      <alignment horizontal="center" vertical="center" wrapText="1"/>
    </xf>
    <xf numFmtId="0" fontId="0" fillId="12" borderId="64" xfId="0" applyFill="1" applyBorder="1" applyAlignment="1">
      <alignment horizontal="center" vertical="center"/>
    </xf>
    <xf numFmtId="0" fontId="8" fillId="12" borderId="49" xfId="5" applyFont="1" applyFill="1" applyBorder="1" applyAlignment="1">
      <alignment horizontal="left" vertical="center" wrapText="1" indent="1"/>
    </xf>
    <xf numFmtId="0" fontId="0" fillId="12" borderId="71" xfId="0" applyFill="1" applyBorder="1" applyAlignment="1">
      <alignment horizontal="center" vertical="center"/>
    </xf>
    <xf numFmtId="0" fontId="8" fillId="12" borderId="51" xfId="5" applyFont="1" applyFill="1" applyBorder="1" applyAlignment="1">
      <alignment horizontal="left" vertical="center" wrapText="1" indent="1"/>
    </xf>
    <xf numFmtId="0" fontId="0" fillId="12" borderId="56" xfId="0" applyFill="1" applyBorder="1" applyAlignment="1">
      <alignment horizontal="center" vertical="center"/>
    </xf>
    <xf numFmtId="0" fontId="12" fillId="12" borderId="42" xfId="0" applyFont="1" applyFill="1" applyBorder="1" applyAlignment="1">
      <alignment horizontal="center"/>
    </xf>
    <xf numFmtId="0" fontId="12" fillId="12" borderId="46" xfId="0" applyFont="1" applyFill="1" applyBorder="1" applyAlignment="1">
      <alignment horizontal="center"/>
    </xf>
    <xf numFmtId="0" fontId="0" fillId="13" borderId="64" xfId="0" applyFill="1" applyBorder="1" applyAlignment="1">
      <alignment horizontal="center" vertical="center"/>
    </xf>
    <xf numFmtId="0" fontId="8" fillId="13" borderId="49" xfId="5" applyFont="1" applyFill="1" applyBorder="1" applyAlignment="1">
      <alignment horizontal="left" vertical="center" wrapText="1" indent="1"/>
    </xf>
    <xf numFmtId="0" fontId="8" fillId="13" borderId="50" xfId="5" applyFont="1" applyFill="1" applyBorder="1" applyAlignment="1">
      <alignment horizontal="left" vertical="center" wrapText="1" indent="1"/>
    </xf>
    <xf numFmtId="0" fontId="0" fillId="13" borderId="71" xfId="0" applyFill="1" applyBorder="1" applyAlignment="1">
      <alignment horizontal="center" vertical="center"/>
    </xf>
    <xf numFmtId="0" fontId="8" fillId="13" borderId="51" xfId="5" applyFont="1" applyFill="1" applyBorder="1" applyAlignment="1">
      <alignment horizontal="left" vertical="center" wrapText="1" indent="1"/>
    </xf>
    <xf numFmtId="0" fontId="0" fillId="13" borderId="49" xfId="0" applyFill="1" applyBorder="1" applyAlignment="1">
      <alignment horizontal="center" vertical="center"/>
    </xf>
    <xf numFmtId="0" fontId="0" fillId="13" borderId="50" xfId="0" applyFill="1" applyBorder="1" applyAlignment="1">
      <alignment horizontal="center" vertical="center"/>
    </xf>
    <xf numFmtId="0" fontId="0" fillId="13" borderId="51" xfId="0" applyFill="1" applyBorder="1" applyAlignment="1">
      <alignment horizontal="center" vertical="center"/>
    </xf>
    <xf numFmtId="0" fontId="12" fillId="13" borderId="46" xfId="0" applyFont="1" applyFill="1" applyBorder="1" applyAlignment="1">
      <alignment horizontal="center"/>
    </xf>
    <xf numFmtId="0" fontId="0" fillId="14" borderId="64" xfId="0" applyFill="1" applyBorder="1" applyAlignment="1">
      <alignment horizontal="center" vertical="center"/>
    </xf>
    <xf numFmtId="0" fontId="8" fillId="14" borderId="49" xfId="5" applyFont="1" applyFill="1" applyBorder="1" applyAlignment="1">
      <alignment horizontal="left" vertical="center" wrapText="1" indent="1"/>
    </xf>
    <xf numFmtId="0" fontId="8" fillId="14" borderId="50" xfId="5" applyFont="1" applyFill="1" applyBorder="1" applyAlignment="1">
      <alignment horizontal="left" vertical="center" wrapText="1" indent="1"/>
    </xf>
    <xf numFmtId="0" fontId="0" fillId="14" borderId="71" xfId="0" applyFill="1" applyBorder="1" applyAlignment="1">
      <alignment horizontal="center" vertical="center"/>
    </xf>
    <xf numFmtId="0" fontId="8" fillId="14" borderId="51" xfId="5" applyFont="1" applyFill="1" applyBorder="1" applyAlignment="1">
      <alignment horizontal="left" vertical="center" wrapText="1" indent="1"/>
    </xf>
    <xf numFmtId="0" fontId="0" fillId="14" borderId="56" xfId="0" applyFill="1" applyBorder="1" applyAlignment="1">
      <alignment horizontal="center" vertical="center"/>
    </xf>
    <xf numFmtId="0" fontId="12" fillId="14" borderId="42" xfId="0" applyFont="1" applyFill="1" applyBorder="1" applyAlignment="1">
      <alignment horizontal="center"/>
    </xf>
    <xf numFmtId="0" fontId="12" fillId="14" borderId="46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3" fontId="8" fillId="0" borderId="0" xfId="8" applyNumberFormat="1" applyFont="1"/>
    <xf numFmtId="0" fontId="3" fillId="0" borderId="0" xfId="5" applyFont="1" applyAlignment="1">
      <alignment vertical="center"/>
    </xf>
    <xf numFmtId="0" fontId="6" fillId="0" borderId="0" xfId="12" applyFont="1" applyAlignment="1">
      <alignment vertical="center"/>
    </xf>
    <xf numFmtId="0" fontId="36" fillId="0" borderId="0" xfId="12" applyFont="1" applyAlignment="1">
      <alignment vertical="center"/>
    </xf>
    <xf numFmtId="0" fontId="44" fillId="0" borderId="57" xfId="12" applyFont="1" applyBorder="1" applyAlignment="1">
      <alignment horizontal="centerContinuous" vertical="center"/>
    </xf>
    <xf numFmtId="0" fontId="44" fillId="0" borderId="58" xfId="12" applyFont="1" applyBorder="1" applyAlignment="1">
      <alignment horizontal="centerContinuous" vertical="center"/>
    </xf>
    <xf numFmtId="0" fontId="44" fillId="0" borderId="85" xfId="12" applyFont="1" applyBorder="1" applyAlignment="1">
      <alignment horizontal="center" vertical="center" wrapText="1"/>
    </xf>
    <xf numFmtId="0" fontId="44" fillId="0" borderId="23" xfId="12" applyFont="1" applyBorder="1" applyAlignment="1">
      <alignment horizontal="center" vertical="center" wrapText="1"/>
    </xf>
    <xf numFmtId="0" fontId="8" fillId="0" borderId="110" xfId="5" applyFont="1" applyBorder="1" applyAlignment="1">
      <alignment horizontal="center" vertical="center" wrapText="1"/>
    </xf>
    <xf numFmtId="0" fontId="6" fillId="0" borderId="12" xfId="12" applyFont="1" applyBorder="1" applyAlignment="1">
      <alignment horizontal="left" vertical="center" indent="1"/>
    </xf>
    <xf numFmtId="3" fontId="6" fillId="0" borderId="44" xfId="12" applyNumberFormat="1" applyFont="1" applyBorder="1" applyAlignment="1">
      <alignment horizontal="right" vertical="center" indent="1"/>
    </xf>
    <xf numFmtId="3" fontId="6" fillId="0" borderId="17" xfId="12" applyNumberFormat="1" applyFont="1" applyBorder="1" applyAlignment="1">
      <alignment horizontal="right" vertical="center" indent="1"/>
    </xf>
    <xf numFmtId="3" fontId="6" fillId="0" borderId="12" xfId="12" applyNumberFormat="1" applyFont="1" applyBorder="1" applyAlignment="1">
      <alignment horizontal="right" vertical="center" indent="1"/>
    </xf>
    <xf numFmtId="0" fontId="8" fillId="0" borderId="111" xfId="5" applyFont="1" applyBorder="1" applyAlignment="1">
      <alignment horizontal="center" vertical="center" wrapText="1"/>
    </xf>
    <xf numFmtId="0" fontId="6" fillId="0" borderId="19" xfId="12" applyFont="1" applyBorder="1" applyAlignment="1">
      <alignment horizontal="left" vertical="center" indent="1"/>
    </xf>
    <xf numFmtId="0" fontId="8" fillId="0" borderId="112" xfId="5" applyFont="1" applyBorder="1" applyAlignment="1">
      <alignment horizontal="center" vertical="center" wrapText="1"/>
    </xf>
    <xf numFmtId="0" fontId="6" fillId="0" borderId="37" xfId="12" applyFont="1" applyBorder="1" applyAlignment="1">
      <alignment horizontal="left" vertical="center" indent="1"/>
    </xf>
    <xf numFmtId="3" fontId="6" fillId="0" borderId="65" xfId="12" applyNumberFormat="1" applyFont="1" applyBorder="1" applyAlignment="1">
      <alignment horizontal="right" vertical="center" indent="1"/>
    </xf>
    <xf numFmtId="3" fontId="6" fillId="0" borderId="66" xfId="12" applyNumberFormat="1" applyFont="1" applyBorder="1" applyAlignment="1">
      <alignment horizontal="right" vertical="center" indent="1"/>
    </xf>
    <xf numFmtId="0" fontId="6" fillId="0" borderId="71" xfId="12" applyFont="1" applyBorder="1" applyAlignment="1">
      <alignment vertical="center"/>
    </xf>
    <xf numFmtId="0" fontId="5" fillId="0" borderId="4" xfId="12" applyFont="1" applyBorder="1" applyAlignment="1">
      <alignment horizontal="left" vertical="center" indent="1"/>
    </xf>
    <xf numFmtId="3" fontId="5" fillId="0" borderId="41" xfId="12" applyNumberFormat="1" applyFont="1" applyBorder="1" applyAlignment="1">
      <alignment horizontal="right" vertical="center" indent="1"/>
    </xf>
    <xf numFmtId="3" fontId="5" fillId="0" borderId="2" xfId="12" applyNumberFormat="1" applyFont="1" applyBorder="1" applyAlignment="1">
      <alignment horizontal="right" vertical="center" indent="1"/>
    </xf>
    <xf numFmtId="3" fontId="5" fillId="0" borderId="4" xfId="12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14" xfId="12" applyFont="1" applyBorder="1" applyAlignment="1">
      <alignment vertical="center"/>
    </xf>
    <xf numFmtId="0" fontId="6" fillId="0" borderId="21" xfId="12" applyFont="1" applyBorder="1" applyAlignment="1">
      <alignment vertical="center"/>
    </xf>
    <xf numFmtId="0" fontId="6" fillId="0" borderId="54" xfId="12" applyFont="1" applyBorder="1" applyAlignment="1">
      <alignment vertical="center"/>
    </xf>
    <xf numFmtId="0" fontId="6" fillId="0" borderId="16" xfId="12" applyFont="1" applyBorder="1" applyAlignment="1">
      <alignment vertical="center"/>
    </xf>
    <xf numFmtId="4" fontId="6" fillId="0" borderId="16" xfId="12" applyNumberFormat="1" applyFont="1" applyBorder="1" applyAlignment="1">
      <alignment horizontal="right" vertical="center" indent="1"/>
    </xf>
    <xf numFmtId="0" fontId="6" fillId="0" borderId="17" xfId="12" applyFont="1" applyBorder="1" applyAlignment="1">
      <alignment vertical="center"/>
    </xf>
    <xf numFmtId="0" fontId="6" fillId="0" borderId="18" xfId="12" applyFont="1" applyBorder="1" applyAlignment="1">
      <alignment vertical="center"/>
    </xf>
    <xf numFmtId="0" fontId="6" fillId="0" borderId="93" xfId="12" applyFont="1" applyBorder="1" applyAlignment="1">
      <alignment vertical="center"/>
    </xf>
    <xf numFmtId="0" fontId="6" fillId="0" borderId="44" xfId="12" applyFont="1" applyBorder="1" applyAlignment="1">
      <alignment vertical="center"/>
    </xf>
    <xf numFmtId="3" fontId="6" fillId="0" borderId="16" xfId="12" applyNumberFormat="1" applyFont="1" applyBorder="1" applyAlignment="1">
      <alignment horizontal="right" vertical="center" indent="1"/>
    </xf>
    <xf numFmtId="0" fontId="33" fillId="0" borderId="0" xfId="5" applyFont="1" applyAlignment="1">
      <alignment horizontal="left" vertical="center" wrapText="1"/>
    </xf>
    <xf numFmtId="0" fontId="8" fillId="0" borderId="0" xfId="5" applyFont="1"/>
    <xf numFmtId="0" fontId="8" fillId="0" borderId="21" xfId="5" applyFont="1" applyBorder="1"/>
    <xf numFmtId="0" fontId="8" fillId="0" borderId="54" xfId="5" applyFont="1" applyBorder="1"/>
    <xf numFmtId="0" fontId="8" fillId="0" borderId="16" xfId="5" applyFont="1" applyBorder="1"/>
    <xf numFmtId="3" fontId="8" fillId="0" borderId="14" xfId="5" applyNumberFormat="1" applyFont="1" applyBorder="1" applyAlignment="1">
      <alignment horizontal="right" indent="1"/>
    </xf>
    <xf numFmtId="170" fontId="8" fillId="0" borderId="14" xfId="5" applyNumberFormat="1" applyFont="1" applyBorder="1" applyAlignment="1">
      <alignment horizontal="right" indent="1"/>
    </xf>
    <xf numFmtId="0" fontId="38" fillId="0" borderId="0" xfId="5" applyFont="1" applyAlignment="1">
      <alignment horizontal="left"/>
    </xf>
    <xf numFmtId="170" fontId="38" fillId="0" borderId="0" xfId="5" applyNumberFormat="1" applyFont="1" applyAlignment="1">
      <alignment horizontal="right"/>
    </xf>
    <xf numFmtId="0" fontId="38" fillId="0" borderId="0" xfId="5" applyFont="1"/>
    <xf numFmtId="0" fontId="38" fillId="0" borderId="0" xfId="5" applyFont="1" applyAlignment="1">
      <alignment horizontal="right" indent="1"/>
    </xf>
    <xf numFmtId="0" fontId="7" fillId="0" borderId="85" xfId="5" applyFont="1" applyBorder="1" applyAlignment="1">
      <alignment horizontal="center" vertical="center" wrapText="1"/>
    </xf>
    <xf numFmtId="0" fontId="7" fillId="0" borderId="24" xfId="5" applyFont="1" applyBorder="1" applyAlignment="1">
      <alignment horizontal="center" vertical="center" wrapText="1"/>
    </xf>
    <xf numFmtId="49" fontId="48" fillId="0" borderId="43" xfId="5" applyNumberFormat="1" applyFont="1" applyBorder="1" applyAlignment="1">
      <alignment horizontal="center" vertical="center"/>
    </xf>
    <xf numFmtId="0" fontId="48" fillId="0" borderId="12" xfId="5" applyFont="1" applyBorder="1" applyAlignment="1">
      <alignment horizontal="left" vertical="center" indent="1"/>
    </xf>
    <xf numFmtId="3" fontId="6" fillId="0" borderId="44" xfId="6" applyNumberFormat="1" applyFont="1" applyBorder="1" applyAlignment="1">
      <alignment horizontal="right" vertical="center" indent="1"/>
    </xf>
    <xf numFmtId="3" fontId="6" fillId="0" borderId="18" xfId="6" applyNumberFormat="1" applyFont="1" applyBorder="1" applyAlignment="1">
      <alignment horizontal="right" vertical="center" indent="1"/>
    </xf>
    <xf numFmtId="3" fontId="7" fillId="0" borderId="113" xfId="5" applyNumberFormat="1" applyFont="1" applyBorder="1" applyAlignment="1">
      <alignment horizontal="right" vertical="center" indent="1"/>
    </xf>
    <xf numFmtId="49" fontId="48" fillId="0" borderId="20" xfId="5" applyNumberFormat="1" applyFont="1" applyBorder="1" applyAlignment="1">
      <alignment horizontal="center" vertical="center"/>
    </xf>
    <xf numFmtId="0" fontId="48" fillId="0" borderId="19" xfId="5" applyFont="1" applyBorder="1" applyAlignment="1">
      <alignment horizontal="left" vertical="center" indent="1"/>
    </xf>
    <xf numFmtId="3" fontId="6" fillId="0" borderId="16" xfId="6" applyNumberFormat="1" applyFont="1" applyBorder="1" applyAlignment="1">
      <alignment horizontal="right" vertical="center" indent="1"/>
    </xf>
    <xf numFmtId="3" fontId="6" fillId="0" borderId="21" xfId="6" applyNumberFormat="1" applyFont="1" applyBorder="1" applyAlignment="1">
      <alignment horizontal="right" vertical="center" indent="1"/>
    </xf>
    <xf numFmtId="3" fontId="6" fillId="0" borderId="16" xfId="5" applyNumberFormat="1" applyFont="1" applyBorder="1" applyAlignment="1">
      <alignment horizontal="right" vertical="center" indent="1"/>
    </xf>
    <xf numFmtId="3" fontId="6" fillId="0" borderId="21" xfId="5" applyNumberFormat="1" applyFont="1" applyBorder="1" applyAlignment="1">
      <alignment horizontal="right" vertical="center" indent="1"/>
    </xf>
    <xf numFmtId="3" fontId="7" fillId="0" borderId="113" xfId="5" quotePrefix="1" applyNumberFormat="1" applyFont="1" applyBorder="1" applyAlignment="1">
      <alignment horizontal="right" vertical="center" indent="1"/>
    </xf>
    <xf numFmtId="49" fontId="48" fillId="0" borderId="33" xfId="5" applyNumberFormat="1" applyFont="1" applyBorder="1" applyAlignment="1">
      <alignment horizontal="center" vertical="center"/>
    </xf>
    <xf numFmtId="0" fontId="48" fillId="0" borderId="37" xfId="5" applyFont="1" applyBorder="1" applyAlignment="1">
      <alignment horizontal="left" vertical="center" indent="1"/>
    </xf>
    <xf numFmtId="3" fontId="8" fillId="0" borderId="36" xfId="5" applyNumberFormat="1" applyFont="1" applyBorder="1" applyAlignment="1">
      <alignment horizontal="right" vertical="center" indent="1"/>
    </xf>
    <xf numFmtId="3" fontId="8" fillId="0" borderId="35" xfId="5" applyNumberFormat="1" applyFont="1" applyBorder="1" applyAlignment="1">
      <alignment horizontal="right" vertical="center" indent="1"/>
    </xf>
    <xf numFmtId="3" fontId="7" fillId="0" borderId="41" xfId="5" applyNumberFormat="1" applyFont="1" applyBorder="1" applyAlignment="1">
      <alignment horizontal="right" vertical="center" indent="1"/>
    </xf>
    <xf numFmtId="3" fontId="7" fillId="0" borderId="3" xfId="5" applyNumberFormat="1" applyFont="1" applyBorder="1" applyAlignment="1">
      <alignment horizontal="right" vertical="center" indent="1"/>
    </xf>
    <xf numFmtId="3" fontId="7" fillId="0" borderId="46" xfId="5" applyNumberFormat="1" applyFont="1" applyBorder="1" applyAlignment="1">
      <alignment horizontal="right" vertical="center" indent="1"/>
    </xf>
    <xf numFmtId="0" fontId="8" fillId="0" borderId="0" xfId="8" applyFont="1" applyAlignment="1">
      <alignment vertical="center"/>
    </xf>
    <xf numFmtId="0" fontId="38" fillId="0" borderId="21" xfId="8" applyFont="1" applyBorder="1" applyAlignment="1">
      <alignment vertical="center"/>
    </xf>
    <xf numFmtId="0" fontId="38" fillId="0" borderId="54" xfId="8" applyFont="1" applyBorder="1" applyAlignment="1">
      <alignment vertical="center"/>
    </xf>
    <xf numFmtId="0" fontId="38" fillId="0" borderId="16" xfId="8" applyFont="1" applyBorder="1" applyAlignment="1">
      <alignment vertical="center"/>
    </xf>
    <xf numFmtId="3" fontId="38" fillId="0" borderId="14" xfId="8" applyNumberFormat="1" applyFont="1" applyBorder="1" applyAlignment="1">
      <alignment horizontal="right" vertical="center" indent="1"/>
    </xf>
    <xf numFmtId="10" fontId="38" fillId="0" borderId="14" xfId="1" applyNumberFormat="1" applyFont="1" applyBorder="1" applyAlignment="1">
      <alignment horizontal="right" vertical="center" indent="1"/>
    </xf>
    <xf numFmtId="0" fontId="38" fillId="0" borderId="0" xfId="8" applyFont="1" applyAlignment="1">
      <alignment vertical="center"/>
    </xf>
    <xf numFmtId="0" fontId="49" fillId="0" borderId="0" xfId="8" applyFont="1" applyAlignment="1">
      <alignment vertical="center"/>
    </xf>
    <xf numFmtId="169" fontId="38" fillId="0" borderId="0" xfId="8" applyNumberFormat="1" applyFont="1" applyAlignment="1">
      <alignment horizontal="right" vertical="center"/>
    </xf>
    <xf numFmtId="0" fontId="50" fillId="0" borderId="0" xfId="8" applyFont="1" applyAlignment="1">
      <alignment horizontal="center" vertical="center"/>
    </xf>
    <xf numFmtId="0" fontId="38" fillId="0" borderId="0" xfId="8" applyFont="1" applyAlignment="1">
      <alignment horizontal="right" vertical="center"/>
    </xf>
    <xf numFmtId="0" fontId="48" fillId="0" borderId="37" xfId="8" applyFont="1" applyBorder="1" applyAlignment="1">
      <alignment horizontal="left" vertical="center" indent="1"/>
    </xf>
    <xf numFmtId="0" fontId="52" fillId="0" borderId="0" xfId="8" applyFont="1" applyAlignment="1">
      <alignment vertical="center"/>
    </xf>
    <xf numFmtId="166" fontId="53" fillId="0" borderId="0" xfId="8" applyNumberFormat="1" applyFont="1" applyAlignment="1">
      <alignment vertical="center"/>
    </xf>
    <xf numFmtId="3" fontId="0" fillId="0" borderId="19" xfId="0" applyNumberFormat="1" applyBorder="1" applyAlignment="1">
      <alignment horizontal="right" indent="1"/>
    </xf>
    <xf numFmtId="0" fontId="17" fillId="6" borderId="42" xfId="10" applyFont="1" applyFill="1" applyBorder="1" applyAlignment="1">
      <alignment vertical="center"/>
    </xf>
    <xf numFmtId="3" fontId="25" fillId="6" borderId="1" xfId="10" applyNumberFormat="1" applyFont="1" applyFill="1" applyBorder="1" applyAlignment="1">
      <alignment vertical="center"/>
    </xf>
    <xf numFmtId="3" fontId="25" fillId="6" borderId="2" xfId="10" applyNumberFormat="1" applyFont="1" applyFill="1" applyBorder="1" applyAlignment="1">
      <alignment vertical="center"/>
    </xf>
    <xf numFmtId="0" fontId="14" fillId="6" borderId="3" xfId="10" applyFont="1" applyFill="1" applyBorder="1" applyAlignment="1">
      <alignment vertical="center"/>
    </xf>
    <xf numFmtId="3" fontId="15" fillId="6" borderId="77" xfId="10" applyNumberFormat="1" applyFont="1" applyFill="1" applyBorder="1" applyAlignment="1">
      <alignment vertical="center"/>
    </xf>
    <xf numFmtId="0" fontId="15" fillId="6" borderId="77" xfId="10" applyFont="1" applyFill="1" applyBorder="1" applyAlignment="1">
      <alignment vertical="center"/>
    </xf>
    <xf numFmtId="3" fontId="33" fillId="8" borderId="94" xfId="10" applyNumberFormat="1" applyFont="1" applyFill="1" applyBorder="1" applyAlignment="1">
      <alignment horizontal="right" vertical="center"/>
    </xf>
    <xf numFmtId="3" fontId="33" fillId="7" borderId="95" xfId="10" applyNumberFormat="1" applyFont="1" applyFill="1" applyBorder="1" applyAlignment="1">
      <alignment horizontal="right" vertical="center"/>
    </xf>
    <xf numFmtId="3" fontId="33" fillId="9" borderId="95" xfId="10" applyNumberFormat="1" applyFont="1" applyFill="1" applyBorder="1" applyAlignment="1">
      <alignment horizontal="right" vertical="center"/>
    </xf>
    <xf numFmtId="0" fontId="5" fillId="0" borderId="0" xfId="10" applyFont="1" applyAlignment="1">
      <alignment horizontal="left" vertical="center"/>
    </xf>
    <xf numFmtId="0" fontId="23" fillId="6" borderId="13" xfId="10" applyFont="1" applyFill="1" applyBorder="1" applyAlignment="1">
      <alignment vertical="center"/>
    </xf>
    <xf numFmtId="0" fontId="23" fillId="6" borderId="10" xfId="10" applyFont="1" applyFill="1" applyBorder="1" applyAlignment="1">
      <alignment vertical="center"/>
    </xf>
    <xf numFmtId="0" fontId="6" fillId="6" borderId="11" xfId="10" applyFont="1" applyFill="1" applyBorder="1" applyAlignment="1">
      <alignment vertical="center"/>
    </xf>
    <xf numFmtId="0" fontId="14" fillId="6" borderId="8" xfId="10" applyFont="1" applyFill="1" applyBorder="1" applyAlignment="1">
      <alignment vertical="center"/>
    </xf>
    <xf numFmtId="166" fontId="26" fillId="6" borderId="9" xfId="10" applyNumberFormat="1" applyFont="1" applyFill="1" applyBorder="1" applyAlignment="1">
      <alignment horizontal="right" vertical="center"/>
    </xf>
    <xf numFmtId="166" fontId="26" fillId="6" borderId="11" xfId="10" applyNumberFormat="1" applyFont="1" applyFill="1" applyBorder="1" applyAlignment="1">
      <alignment horizontal="right" vertical="center"/>
    </xf>
    <xf numFmtId="166" fontId="26" fillId="6" borderId="15" xfId="10" applyNumberFormat="1" applyFont="1" applyFill="1" applyBorder="1" applyAlignment="1">
      <alignment horizontal="right" vertical="center"/>
    </xf>
    <xf numFmtId="3" fontId="6" fillId="7" borderId="115" xfId="10" applyNumberFormat="1" applyFont="1" applyFill="1" applyBorder="1" applyAlignment="1">
      <alignment horizontal="right" vertical="center"/>
    </xf>
    <xf numFmtId="10" fontId="0" fillId="0" borderId="0" xfId="1" applyNumberFormat="1" applyFont="1"/>
    <xf numFmtId="0" fontId="6" fillId="6" borderId="0" xfId="10" applyFont="1" applyFill="1" applyAlignment="1">
      <alignment horizontal="center" vertical="center"/>
    </xf>
    <xf numFmtId="0" fontId="6" fillId="0" borderId="24" xfId="10" applyFont="1" applyBorder="1" applyAlignment="1">
      <alignment horizontal="left" vertical="center"/>
    </xf>
    <xf numFmtId="0" fontId="6" fillId="0" borderId="84" xfId="1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center" vertical="center"/>
    </xf>
    <xf numFmtId="0" fontId="6" fillId="6" borderId="19" xfId="0" applyFont="1" applyFill="1" applyBorder="1" applyAlignment="1">
      <alignment horizontal="left" vertical="center" indent="1"/>
    </xf>
    <xf numFmtId="0" fontId="6" fillId="0" borderId="22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20" xfId="0" applyBorder="1" applyAlignment="1">
      <alignment horizontal="center"/>
    </xf>
    <xf numFmtId="10" fontId="0" fillId="0" borderId="21" xfId="1" applyNumberFormat="1" applyFont="1" applyBorder="1" applyAlignment="1">
      <alignment horizontal="right" indent="1"/>
    </xf>
    <xf numFmtId="0" fontId="0" fillId="0" borderId="33" xfId="0" applyBorder="1" applyAlignment="1">
      <alignment horizontal="center"/>
    </xf>
    <xf numFmtId="171" fontId="0" fillId="0" borderId="0" xfId="0" applyNumberFormat="1"/>
    <xf numFmtId="0" fontId="0" fillId="0" borderId="22" xfId="0" applyBorder="1" applyAlignment="1">
      <alignment horizontal="center"/>
    </xf>
    <xf numFmtId="0" fontId="15" fillId="6" borderId="0" xfId="10" applyFont="1" applyFill="1" applyAlignment="1">
      <alignment horizontal="center" vertical="center" wrapText="1"/>
    </xf>
    <xf numFmtId="10" fontId="6" fillId="6" borderId="0" xfId="10" applyNumberFormat="1" applyFont="1" applyFill="1" applyAlignment="1">
      <alignment horizontal="center" vertical="center"/>
    </xf>
    <xf numFmtId="3" fontId="5" fillId="0" borderId="0" xfId="10" applyNumberFormat="1" applyFont="1" applyAlignment="1">
      <alignment horizontal="center" vertical="center"/>
    </xf>
    <xf numFmtId="0" fontId="14" fillId="7" borderId="4" xfId="10" applyFont="1" applyFill="1" applyBorder="1" applyAlignment="1">
      <alignment horizontal="center" vertical="top"/>
    </xf>
    <xf numFmtId="3" fontId="5" fillId="7" borderId="15" xfId="10" applyNumberFormat="1" applyFont="1" applyFill="1" applyBorder="1" applyAlignment="1">
      <alignment horizontal="center" vertical="center"/>
    </xf>
    <xf numFmtId="3" fontId="5" fillId="7" borderId="12" xfId="10" applyNumberFormat="1" applyFont="1" applyFill="1" applyBorder="1" applyAlignment="1">
      <alignment horizontal="center" vertical="center"/>
    </xf>
    <xf numFmtId="3" fontId="5" fillId="7" borderId="26" xfId="10" applyNumberFormat="1" applyFont="1" applyFill="1" applyBorder="1" applyAlignment="1">
      <alignment horizontal="center" vertical="center"/>
    </xf>
    <xf numFmtId="0" fontId="8" fillId="0" borderId="0" xfId="8" applyFont="1" applyAlignment="1">
      <alignment horizontal="right"/>
    </xf>
    <xf numFmtId="3" fontId="6" fillId="0" borderId="0" xfId="10" applyNumberFormat="1" applyFont="1" applyAlignment="1">
      <alignment vertical="center"/>
    </xf>
    <xf numFmtId="0" fontId="3" fillId="0" borderId="0" xfId="2" applyFont="1"/>
    <xf numFmtId="0" fontId="56" fillId="0" borderId="0" xfId="2" applyFont="1"/>
    <xf numFmtId="0" fontId="57" fillId="0" borderId="0" xfId="0" applyFont="1"/>
    <xf numFmtId="0" fontId="54" fillId="0" borderId="0" xfId="0" applyFont="1"/>
    <xf numFmtId="0" fontId="8" fillId="0" borderId="0" xfId="0" applyFont="1" applyAlignment="1">
      <alignment horizontal="center"/>
    </xf>
    <xf numFmtId="0" fontId="6" fillId="0" borderId="0" xfId="9" quotePrefix="1" applyFont="1"/>
    <xf numFmtId="0" fontId="8" fillId="0" borderId="0" xfId="0" applyFont="1" applyAlignment="1">
      <alignment horizontal="center" vertical="top"/>
    </xf>
    <xf numFmtId="0" fontId="6" fillId="0" borderId="0" xfId="0" quotePrefix="1" applyFont="1"/>
    <xf numFmtId="0" fontId="6" fillId="0" borderId="0" xfId="9" quotePrefix="1" applyFont="1" applyAlignment="1"/>
    <xf numFmtId="0" fontId="6" fillId="0" borderId="0" xfId="9" applyFont="1" applyAlignment="1"/>
    <xf numFmtId="3" fontId="8" fillId="0" borderId="11" xfId="8" applyNumberFormat="1" applyFont="1" applyBorder="1" applyAlignment="1">
      <alignment horizontal="right" vertical="center" indent="1"/>
    </xf>
    <xf numFmtId="0" fontId="7" fillId="0" borderId="45" xfId="8" applyFont="1" applyBorder="1" applyAlignment="1">
      <alignment horizontal="center" vertical="center"/>
    </xf>
    <xf numFmtId="0" fontId="7" fillId="0" borderId="1" xfId="8" applyFont="1" applyBorder="1" applyAlignment="1">
      <alignment horizontal="center" vertical="center"/>
    </xf>
    <xf numFmtId="0" fontId="7" fillId="0" borderId="41" xfId="8" applyFont="1" applyBorder="1" applyAlignment="1">
      <alignment horizontal="center" vertical="center"/>
    </xf>
    <xf numFmtId="0" fontId="8" fillId="0" borderId="17" xfId="5" applyFont="1" applyBorder="1" applyAlignment="1">
      <alignment horizontal="left" vertical="center"/>
    </xf>
    <xf numFmtId="0" fontId="8" fillId="0" borderId="47" xfId="5" applyFont="1" applyBorder="1" applyAlignment="1">
      <alignment horizontal="left" vertical="center"/>
    </xf>
    <xf numFmtId="0" fontId="8" fillId="0" borderId="14" xfId="5" applyFont="1" applyBorder="1" applyAlignment="1">
      <alignment horizontal="left" vertical="center"/>
    </xf>
    <xf numFmtId="0" fontId="8" fillId="0" borderId="40" xfId="5" applyFont="1" applyBorder="1" applyAlignment="1">
      <alignment horizontal="left" vertical="center"/>
    </xf>
    <xf numFmtId="6" fontId="0" fillId="0" borderId="0" xfId="0" applyNumberFormat="1"/>
    <xf numFmtId="10" fontId="0" fillId="0" borderId="11" xfId="1" applyNumberFormat="1" applyFont="1" applyBorder="1" applyAlignment="1">
      <alignment horizontal="right" indent="1"/>
    </xf>
    <xf numFmtId="3" fontId="0" fillId="0" borderId="15" xfId="0" applyNumberFormat="1" applyBorder="1" applyAlignment="1">
      <alignment horizontal="right" indent="1"/>
    </xf>
    <xf numFmtId="0" fontId="0" fillId="0" borderId="14" xfId="0" applyBorder="1" applyAlignment="1">
      <alignment horizontal="center"/>
    </xf>
    <xf numFmtId="0" fontId="0" fillId="0" borderId="23" xfId="0" applyBorder="1" applyAlignment="1">
      <alignment horizontal="center"/>
    </xf>
    <xf numFmtId="10" fontId="0" fillId="0" borderId="24" xfId="1" applyNumberFormat="1" applyFont="1" applyBorder="1" applyAlignment="1">
      <alignment horizontal="right" indent="1"/>
    </xf>
    <xf numFmtId="3" fontId="0" fillId="0" borderId="26" xfId="0" applyNumberFormat="1" applyBorder="1" applyAlignment="1">
      <alignment horizontal="right" indent="1"/>
    </xf>
    <xf numFmtId="0" fontId="12" fillId="13" borderId="1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9" fontId="0" fillId="0" borderId="14" xfId="0" applyNumberForma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34" xfId="0" applyBorder="1" applyAlignment="1">
      <alignment horizontal="center"/>
    </xf>
    <xf numFmtId="0" fontId="7" fillId="0" borderId="85" xfId="8" applyFont="1" applyBorder="1" applyAlignment="1">
      <alignment horizontal="center" vertical="center" wrapText="1"/>
    </xf>
    <xf numFmtId="0" fontId="7" fillId="0" borderId="24" xfId="8" applyFont="1" applyBorder="1" applyAlignment="1">
      <alignment horizontal="center" vertical="center" wrapText="1"/>
    </xf>
    <xf numFmtId="49" fontId="48" fillId="0" borderId="43" xfId="8" applyNumberFormat="1" applyFont="1" applyBorder="1" applyAlignment="1">
      <alignment horizontal="center" vertical="center"/>
    </xf>
    <xf numFmtId="0" fontId="48" fillId="0" borderId="12" xfId="8" applyFont="1" applyBorder="1" applyAlignment="1">
      <alignment horizontal="left" vertical="center" indent="1"/>
    </xf>
    <xf numFmtId="49" fontId="48" fillId="0" borderId="20" xfId="8" applyNumberFormat="1" applyFont="1" applyBorder="1" applyAlignment="1">
      <alignment horizontal="center" vertical="center"/>
    </xf>
    <xf numFmtId="0" fontId="48" fillId="0" borderId="19" xfId="8" applyFont="1" applyBorder="1" applyAlignment="1">
      <alignment horizontal="left" vertical="center" indent="1"/>
    </xf>
    <xf numFmtId="49" fontId="48" fillId="0" borderId="33" xfId="8" applyNumberFormat="1" applyFont="1" applyBorder="1" applyAlignment="1">
      <alignment horizontal="center" vertical="center"/>
    </xf>
    <xf numFmtId="0" fontId="51" fillId="0" borderId="4" xfId="8" applyFont="1" applyBorder="1" applyAlignment="1">
      <alignment horizontal="left" vertical="center" indent="1"/>
    </xf>
    <xf numFmtId="3" fontId="5" fillId="0" borderId="1" xfId="8" applyNumberFormat="1" applyFont="1" applyBorder="1" applyAlignment="1">
      <alignment horizontal="right" vertical="center" indent="1"/>
    </xf>
    <xf numFmtId="0" fontId="6" fillId="6" borderId="11" xfId="0" applyFont="1" applyFill="1" applyBorder="1" applyAlignment="1">
      <alignment horizontal="right" indent="1"/>
    </xf>
    <xf numFmtId="0" fontId="6" fillId="6" borderId="21" xfId="0" applyFont="1" applyFill="1" applyBorder="1" applyAlignment="1">
      <alignment horizontal="right" indent="1"/>
    </xf>
    <xf numFmtId="0" fontId="8" fillId="6" borderId="54" xfId="0" applyFont="1" applyFill="1" applyBorder="1" applyAlignment="1">
      <alignment horizontal="right" indent="1"/>
    </xf>
    <xf numFmtId="1" fontId="8" fillId="0" borderId="14" xfId="0" applyNumberFormat="1" applyFont="1" applyBorder="1" applyAlignment="1">
      <alignment horizontal="right" indent="1"/>
    </xf>
    <xf numFmtId="0" fontId="6" fillId="6" borderId="54" xfId="0" applyFont="1" applyFill="1" applyBorder="1" applyAlignment="1">
      <alignment horizontal="right" indent="1"/>
    </xf>
    <xf numFmtId="0" fontId="8" fillId="6" borderId="16" xfId="0" applyFont="1" applyFill="1" applyBorder="1" applyAlignment="1">
      <alignment horizontal="right" wrapText="1" indent="1"/>
    </xf>
    <xf numFmtId="0" fontId="6" fillId="6" borderId="54" xfId="0" applyFont="1" applyFill="1" applyBorder="1" applyAlignment="1">
      <alignment horizontal="right" wrapText="1" indent="1"/>
    </xf>
    <xf numFmtId="0" fontId="8" fillId="6" borderId="81" xfId="0" applyFont="1" applyFill="1" applyBorder="1" applyAlignment="1">
      <alignment horizontal="right" indent="1"/>
    </xf>
    <xf numFmtId="0" fontId="8" fillId="6" borderId="16" xfId="0" applyFont="1" applyFill="1" applyBorder="1" applyAlignment="1">
      <alignment horizontal="right" indent="1"/>
    </xf>
    <xf numFmtId="0" fontId="6" fillId="6" borderId="16" xfId="0" applyFont="1" applyFill="1" applyBorder="1" applyAlignment="1">
      <alignment horizontal="right" indent="1"/>
    </xf>
    <xf numFmtId="1" fontId="8" fillId="6" borderId="14" xfId="0" applyNumberFormat="1" applyFont="1" applyFill="1" applyBorder="1" applyAlignment="1">
      <alignment horizontal="right" indent="1"/>
    </xf>
    <xf numFmtId="0" fontId="8" fillId="0" borderId="81" xfId="0" applyFont="1" applyBorder="1" applyAlignment="1">
      <alignment horizontal="right" indent="1"/>
    </xf>
    <xf numFmtId="0" fontId="6" fillId="0" borderId="16" xfId="0" applyFont="1" applyBorder="1" applyAlignment="1">
      <alignment horizontal="right" indent="1"/>
    </xf>
    <xf numFmtId="3" fontId="5" fillId="0" borderId="77" xfId="8" applyNumberFormat="1" applyFont="1" applyBorder="1" applyAlignment="1">
      <alignment horizontal="right" vertical="center" indent="1"/>
    </xf>
    <xf numFmtId="3" fontId="6" fillId="0" borderId="113" xfId="8" applyNumberFormat="1" applyFont="1" applyBorder="1" applyAlignment="1">
      <alignment horizontal="right" vertical="center" indent="1"/>
    </xf>
    <xf numFmtId="3" fontId="5" fillId="0" borderId="46" xfId="8" applyNumberFormat="1" applyFont="1" applyBorder="1" applyAlignment="1">
      <alignment horizontal="right" vertical="center" indent="1"/>
    </xf>
    <xf numFmtId="0" fontId="59" fillId="0" borderId="0" xfId="8" applyFont="1" applyAlignment="1">
      <alignment horizontal="right" vertical="center"/>
    </xf>
    <xf numFmtId="10" fontId="53" fillId="0" borderId="0" xfId="0" applyNumberFormat="1" applyFont="1" applyAlignment="1">
      <alignment horizontal="left" vertical="center"/>
    </xf>
    <xf numFmtId="4" fontId="0" fillId="0" borderId="0" xfId="0" applyNumberFormat="1"/>
    <xf numFmtId="172" fontId="0" fillId="0" borderId="0" xfId="0" applyNumberFormat="1"/>
    <xf numFmtId="0" fontId="60" fillId="0" borderId="0" xfId="3" applyFont="1" applyAlignment="1">
      <alignment horizontal="right" vertical="center"/>
    </xf>
    <xf numFmtId="0" fontId="11" fillId="0" borderId="0" xfId="9" applyFill="1" applyAlignment="1">
      <alignment horizontal="left" vertical="center"/>
    </xf>
    <xf numFmtId="0" fontId="61" fillId="0" borderId="0" xfId="9" quotePrefix="1" applyFont="1" applyFill="1"/>
    <xf numFmtId="0" fontId="61" fillId="0" borderId="0" xfId="9" applyFont="1" applyFill="1"/>
    <xf numFmtId="10" fontId="0" fillId="0" borderId="13" xfId="0" applyNumberFormat="1" applyBorder="1" applyAlignment="1">
      <alignment horizontal="right" indent="1"/>
    </xf>
    <xf numFmtId="10" fontId="0" fillId="0" borderId="10" xfId="1" applyNumberFormat="1" applyFont="1" applyBorder="1" applyAlignment="1">
      <alignment horizontal="right" indent="1"/>
    </xf>
    <xf numFmtId="10" fontId="0" fillId="0" borderId="13" xfId="1" applyNumberFormat="1" applyFont="1" applyBorder="1" applyAlignment="1">
      <alignment horizontal="right" indent="1"/>
    </xf>
    <xf numFmtId="10" fontId="0" fillId="0" borderId="20" xfId="1" applyNumberFormat="1" applyFont="1" applyBorder="1" applyAlignment="1">
      <alignment horizontal="right" indent="1"/>
    </xf>
    <xf numFmtId="10" fontId="0" fillId="0" borderId="14" xfId="1" applyNumberFormat="1" applyFont="1" applyBorder="1" applyAlignment="1">
      <alignment horizontal="right" indent="1"/>
    </xf>
    <xf numFmtId="10" fontId="0" fillId="0" borderId="22" xfId="1" applyNumberFormat="1" applyFont="1" applyBorder="1" applyAlignment="1">
      <alignment horizontal="right" indent="1"/>
    </xf>
    <xf numFmtId="10" fontId="0" fillId="0" borderId="23" xfId="1" applyNumberFormat="1" applyFont="1" applyBorder="1" applyAlignment="1">
      <alignment horizontal="right" indent="1"/>
    </xf>
    <xf numFmtId="10" fontId="0" fillId="0" borderId="38" xfId="0" applyNumberFormat="1" applyBorder="1" applyAlignment="1">
      <alignment horizontal="right" indent="1"/>
    </xf>
    <xf numFmtId="10" fontId="0" fillId="0" borderId="30" xfId="1" applyNumberFormat="1" applyFont="1" applyBorder="1" applyAlignment="1">
      <alignment horizontal="right" indent="1"/>
    </xf>
    <xf numFmtId="10" fontId="0" fillId="0" borderId="32" xfId="1" applyNumberFormat="1" applyFont="1" applyBorder="1" applyAlignment="1">
      <alignment horizontal="right" indent="1"/>
    </xf>
    <xf numFmtId="10" fontId="0" fillId="0" borderId="38" xfId="1" applyNumberFormat="1" applyFont="1" applyBorder="1" applyAlignment="1">
      <alignment horizontal="right" indent="1"/>
    </xf>
    <xf numFmtId="3" fontId="0" fillId="0" borderId="31" xfId="0" applyNumberFormat="1" applyBorder="1" applyAlignment="1">
      <alignment horizontal="right" indent="1"/>
    </xf>
    <xf numFmtId="0" fontId="0" fillId="0" borderId="17" xfId="0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0" fillId="0" borderId="34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21" xfId="0" applyBorder="1" applyAlignment="1">
      <alignment horizontal="left" indent="1"/>
    </xf>
    <xf numFmtId="0" fontId="0" fillId="0" borderId="35" xfId="0" applyBorder="1" applyAlignment="1">
      <alignment horizontal="left" indent="1"/>
    </xf>
    <xf numFmtId="0" fontId="0" fillId="0" borderId="24" xfId="0" applyBorder="1" applyAlignment="1">
      <alignment horizontal="left" inden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34" xfId="5" applyFont="1" applyBorder="1" applyAlignment="1">
      <alignment horizontal="left" vertical="center"/>
    </xf>
    <xf numFmtId="0" fontId="8" fillId="0" borderId="48" xfId="5" applyFont="1" applyBorder="1" applyAlignment="1">
      <alignment horizontal="left" vertical="center"/>
    </xf>
    <xf numFmtId="10" fontId="8" fillId="0" borderId="17" xfId="1" applyNumberFormat="1" applyFont="1" applyBorder="1" applyAlignment="1">
      <alignment horizontal="right" vertical="center" indent="1"/>
    </xf>
    <xf numFmtId="10" fontId="8" fillId="0" borderId="14" xfId="1" applyNumberFormat="1" applyFont="1" applyBorder="1" applyAlignment="1">
      <alignment horizontal="right" vertical="center" indent="1"/>
    </xf>
    <xf numFmtId="10" fontId="8" fillId="0" borderId="34" xfId="1" applyNumberFormat="1" applyFont="1" applyBorder="1" applyAlignment="1">
      <alignment horizontal="right" vertical="center" indent="1"/>
    </xf>
    <xf numFmtId="3" fontId="8" fillId="0" borderId="47" xfId="5" applyNumberFormat="1" applyFont="1" applyBorder="1" applyAlignment="1">
      <alignment horizontal="right" vertical="center" indent="1"/>
    </xf>
    <xf numFmtId="3" fontId="8" fillId="0" borderId="40" xfId="5" applyNumberFormat="1" applyFont="1" applyBorder="1" applyAlignment="1">
      <alignment horizontal="right" vertical="center" indent="1"/>
    </xf>
    <xf numFmtId="3" fontId="8" fillId="0" borderId="48" xfId="5" applyNumberFormat="1" applyFont="1" applyBorder="1" applyAlignment="1">
      <alignment horizontal="right" vertical="center" indent="1"/>
    </xf>
    <xf numFmtId="3" fontId="8" fillId="6" borderId="11" xfId="0" applyNumberFormat="1" applyFont="1" applyFill="1" applyBorder="1" applyAlignment="1">
      <alignment horizontal="right" indent="1"/>
    </xf>
    <xf numFmtId="3" fontId="8" fillId="6" borderId="21" xfId="0" applyNumberFormat="1" applyFont="1" applyFill="1" applyBorder="1" applyAlignment="1">
      <alignment horizontal="right" indent="1"/>
    </xf>
    <xf numFmtId="3" fontId="6" fillId="0" borderId="21" xfId="8" applyNumberFormat="1" applyFont="1" applyBorder="1" applyAlignment="1">
      <alignment horizontal="right" vertical="center" indent="1"/>
    </xf>
    <xf numFmtId="3" fontId="8" fillId="6" borderId="35" xfId="0" applyNumberFormat="1" applyFont="1" applyFill="1" applyBorder="1" applyAlignment="1">
      <alignment horizontal="right" indent="1"/>
    </xf>
    <xf numFmtId="3" fontId="8" fillId="6" borderId="63" xfId="0" applyNumberFormat="1" applyFont="1" applyFill="1" applyBorder="1" applyAlignment="1">
      <alignment horizontal="right" indent="1"/>
    </xf>
    <xf numFmtId="3" fontId="8" fillId="0" borderId="35" xfId="0" applyNumberFormat="1" applyFont="1" applyBorder="1" applyAlignment="1">
      <alignment horizontal="right" indent="1"/>
    </xf>
    <xf numFmtId="3" fontId="8" fillId="0" borderId="21" xfId="0" applyNumberFormat="1" applyFont="1" applyBorder="1" applyAlignment="1">
      <alignment horizontal="right" indent="1"/>
    </xf>
    <xf numFmtId="3" fontId="8" fillId="7" borderId="70" xfId="10" applyNumberFormat="1" applyFont="1" applyFill="1" applyBorder="1" applyAlignment="1">
      <alignment horizontal="right" vertical="center"/>
    </xf>
    <xf numFmtId="172" fontId="0" fillId="0" borderId="0" xfId="1" applyNumberFormat="1" applyFont="1"/>
    <xf numFmtId="3" fontId="12" fillId="0" borderId="0" xfId="0" applyNumberFormat="1" applyFont="1"/>
    <xf numFmtId="10" fontId="0" fillId="0" borderId="0" xfId="0" applyNumberFormat="1"/>
    <xf numFmtId="3" fontId="8" fillId="0" borderId="19" xfId="0" applyNumberFormat="1" applyFont="1" applyBorder="1" applyAlignment="1">
      <alignment horizontal="right" vertical="center" indent="1"/>
    </xf>
    <xf numFmtId="3" fontId="8" fillId="6" borderId="19" xfId="0" applyNumberFormat="1" applyFont="1" applyFill="1" applyBorder="1" applyAlignment="1">
      <alignment horizontal="right" vertical="center" indent="1"/>
    </xf>
    <xf numFmtId="3" fontId="8" fillId="6" borderId="37" xfId="0" applyNumberFormat="1" applyFont="1" applyFill="1" applyBorder="1" applyAlignment="1">
      <alignment horizontal="right" vertical="center" indent="1"/>
    </xf>
    <xf numFmtId="3" fontId="5" fillId="6" borderId="4" xfId="0" applyNumberFormat="1" applyFont="1" applyFill="1" applyBorder="1" applyAlignment="1">
      <alignment horizontal="right" vertical="center" indent="1"/>
    </xf>
    <xf numFmtId="3" fontId="7" fillId="7" borderId="46" xfId="10" applyNumberFormat="1" applyFont="1" applyFill="1" applyBorder="1" applyAlignment="1">
      <alignment horizontal="right" vertical="center"/>
    </xf>
    <xf numFmtId="0" fontId="5" fillId="0" borderId="42" xfId="0" applyFont="1" applyBorder="1" applyAlignment="1">
      <alignment horizontal="center" vertical="center" wrapText="1"/>
    </xf>
    <xf numFmtId="10" fontId="8" fillId="0" borderId="53" xfId="1" applyNumberFormat="1" applyFont="1" applyBorder="1" applyAlignment="1">
      <alignment horizontal="right" vertical="center" indent="1"/>
    </xf>
    <xf numFmtId="10" fontId="8" fillId="6" borderId="53" xfId="1" applyNumberFormat="1" applyFont="1" applyFill="1" applyBorder="1" applyAlignment="1">
      <alignment horizontal="right" vertical="center" indent="1"/>
    </xf>
    <xf numFmtId="10" fontId="8" fillId="6" borderId="117" xfId="1" applyNumberFormat="1" applyFont="1" applyFill="1" applyBorder="1" applyAlignment="1">
      <alignment horizontal="right" vertical="center" indent="1"/>
    </xf>
    <xf numFmtId="166" fontId="5" fillId="6" borderId="42" xfId="1" applyNumberFormat="1" applyFont="1" applyFill="1" applyBorder="1" applyAlignment="1">
      <alignment horizontal="right" vertical="center" indent="1"/>
    </xf>
    <xf numFmtId="3" fontId="6" fillId="0" borderId="114" xfId="10" applyNumberFormat="1" applyFont="1" applyBorder="1" applyAlignment="1">
      <alignment horizontal="right" vertical="center"/>
    </xf>
    <xf numFmtId="3" fontId="6" fillId="0" borderId="88" xfId="10" applyNumberFormat="1" applyFont="1" applyBorder="1" applyAlignment="1">
      <alignment horizontal="right" vertical="center"/>
    </xf>
    <xf numFmtId="3" fontId="6" fillId="0" borderId="82" xfId="10" applyNumberFormat="1" applyFont="1" applyBorder="1" applyAlignment="1">
      <alignment horizontal="right" vertical="center"/>
    </xf>
    <xf numFmtId="3" fontId="14" fillId="0" borderId="94" xfId="10" applyNumberFormat="1" applyFont="1" applyBorder="1" applyAlignment="1">
      <alignment horizontal="right" vertical="center"/>
    </xf>
    <xf numFmtId="3" fontId="6" fillId="8" borderId="115" xfId="10" applyNumberFormat="1" applyFont="1" applyFill="1" applyBorder="1" applyAlignment="1">
      <alignment horizontal="right" vertical="center"/>
    </xf>
    <xf numFmtId="3" fontId="6" fillId="8" borderId="89" xfId="10" applyNumberFormat="1" applyFont="1" applyFill="1" applyBorder="1" applyAlignment="1">
      <alignment horizontal="right" vertical="center"/>
    </xf>
    <xf numFmtId="3" fontId="6" fillId="8" borderId="83" xfId="10" applyNumberFormat="1" applyFont="1" applyFill="1" applyBorder="1" applyAlignment="1">
      <alignment horizontal="right" vertical="center"/>
    </xf>
    <xf numFmtId="3" fontId="33" fillId="8" borderId="95" xfId="10" applyNumberFormat="1" applyFont="1" applyFill="1" applyBorder="1" applyAlignment="1">
      <alignment horizontal="right" vertical="center"/>
    </xf>
    <xf numFmtId="9" fontId="12" fillId="10" borderId="45" xfId="0" applyNumberFormat="1" applyFont="1" applyFill="1" applyBorder="1"/>
    <xf numFmtId="10" fontId="12" fillId="10" borderId="42" xfId="0" applyNumberFormat="1" applyFont="1" applyFill="1" applyBorder="1"/>
    <xf numFmtId="10" fontId="12" fillId="10" borderId="45" xfId="0" applyNumberFormat="1" applyFont="1" applyFill="1" applyBorder="1"/>
    <xf numFmtId="9" fontId="12" fillId="10" borderId="8" xfId="0" applyNumberFormat="1" applyFont="1" applyFill="1" applyBorder="1" applyAlignment="1">
      <alignment vertical="center" wrapText="1"/>
    </xf>
    <xf numFmtId="165" fontId="12" fillId="10" borderId="106" xfId="1" applyNumberFormat="1" applyFont="1" applyFill="1" applyBorder="1" applyAlignment="1">
      <alignment vertical="center" wrapText="1"/>
    </xf>
    <xf numFmtId="0" fontId="0" fillId="11" borderId="56" xfId="0" applyFill="1" applyBorder="1"/>
    <xf numFmtId="0" fontId="0" fillId="11" borderId="0" xfId="0" applyFill="1"/>
    <xf numFmtId="0" fontId="0" fillId="11" borderId="57" xfId="0" applyFill="1" applyBorder="1"/>
    <xf numFmtId="10" fontId="0" fillId="11" borderId="105" xfId="1" applyNumberFormat="1" applyFont="1" applyFill="1" applyBorder="1"/>
    <xf numFmtId="10" fontId="0" fillId="11" borderId="57" xfId="1" applyNumberFormat="1" applyFont="1" applyFill="1" applyBorder="1"/>
    <xf numFmtId="165" fontId="0" fillId="11" borderId="56" xfId="1" applyNumberFormat="1" applyFont="1" applyFill="1" applyBorder="1"/>
    <xf numFmtId="165" fontId="0" fillId="11" borderId="49" xfId="1" applyNumberFormat="1" applyFont="1" applyFill="1" applyBorder="1"/>
    <xf numFmtId="10" fontId="0" fillId="11" borderId="78" xfId="1" applyNumberFormat="1" applyFont="1" applyFill="1" applyBorder="1"/>
    <xf numFmtId="0" fontId="0" fillId="11" borderId="64" xfId="0" applyFill="1" applyBorder="1"/>
    <xf numFmtId="10" fontId="0" fillId="11" borderId="0" xfId="1" applyNumberFormat="1" applyFont="1" applyFill="1" applyBorder="1"/>
    <xf numFmtId="165" fontId="0" fillId="11" borderId="0" xfId="1" applyNumberFormat="1" applyFont="1" applyFill="1" applyBorder="1"/>
    <xf numFmtId="165" fontId="0" fillId="11" borderId="50" xfId="1" applyNumberFormat="1" applyFont="1" applyFill="1" applyBorder="1"/>
    <xf numFmtId="0" fontId="0" fillId="11" borderId="71" xfId="0" applyFill="1" applyBorder="1"/>
    <xf numFmtId="0" fontId="0" fillId="11" borderId="72" xfId="0" applyFill="1" applyBorder="1"/>
    <xf numFmtId="10" fontId="0" fillId="11" borderId="109" xfId="1" applyNumberFormat="1" applyFont="1" applyFill="1" applyBorder="1"/>
    <xf numFmtId="0" fontId="12" fillId="11" borderId="77" xfId="0" applyFont="1" applyFill="1" applyBorder="1"/>
    <xf numFmtId="10" fontId="12" fillId="11" borderId="77" xfId="1" applyNumberFormat="1" applyFont="1" applyFill="1" applyBorder="1"/>
    <xf numFmtId="0" fontId="12" fillId="11" borderId="42" xfId="0" applyFont="1" applyFill="1" applyBorder="1"/>
    <xf numFmtId="10" fontId="12" fillId="11" borderId="45" xfId="1" applyNumberFormat="1" applyFont="1" applyFill="1" applyBorder="1"/>
    <xf numFmtId="165" fontId="12" fillId="11" borderId="77" xfId="1" applyNumberFormat="1" applyFont="1" applyFill="1" applyBorder="1"/>
    <xf numFmtId="165" fontId="12" fillId="11" borderId="46" xfId="1" applyNumberFormat="1" applyFont="1" applyFill="1" applyBorder="1"/>
    <xf numFmtId="3" fontId="0" fillId="11" borderId="57" xfId="0" applyNumberFormat="1" applyFill="1" applyBorder="1"/>
    <xf numFmtId="3" fontId="0" fillId="11" borderId="56" xfId="0" applyNumberFormat="1" applyFill="1" applyBorder="1"/>
    <xf numFmtId="3" fontId="0" fillId="11" borderId="0" xfId="0" applyNumberFormat="1" applyFill="1"/>
    <xf numFmtId="3" fontId="0" fillId="11" borderId="64" xfId="0" applyNumberFormat="1" applyFill="1" applyBorder="1"/>
    <xf numFmtId="3" fontId="0" fillId="11" borderId="72" xfId="0" applyNumberFormat="1" applyFill="1" applyBorder="1"/>
    <xf numFmtId="3" fontId="12" fillId="11" borderId="77" xfId="0" applyNumberFormat="1" applyFont="1" applyFill="1" applyBorder="1"/>
    <xf numFmtId="3" fontId="12" fillId="11" borderId="42" xfId="0" applyNumberFormat="1" applyFont="1" applyFill="1" applyBorder="1"/>
    <xf numFmtId="10" fontId="0" fillId="0" borderId="0" xfId="1" applyNumberFormat="1" applyFont="1" applyFill="1" applyBorder="1"/>
    <xf numFmtId="10" fontId="12" fillId="0" borderId="0" xfId="1" applyNumberFormat="1" applyFont="1" applyFill="1" applyBorder="1"/>
    <xf numFmtId="3" fontId="0" fillId="11" borderId="71" xfId="0" applyNumberFormat="1" applyFill="1" applyBorder="1"/>
    <xf numFmtId="9" fontId="12" fillId="10" borderId="106" xfId="0" applyNumberFormat="1" applyFont="1" applyFill="1" applyBorder="1" applyAlignment="1">
      <alignment vertical="center" wrapText="1"/>
    </xf>
    <xf numFmtId="3" fontId="0" fillId="12" borderId="56" xfId="0" applyNumberFormat="1" applyFill="1" applyBorder="1"/>
    <xf numFmtId="10" fontId="0" fillId="12" borderId="105" xfId="1" applyNumberFormat="1" applyFont="1" applyFill="1" applyBorder="1"/>
    <xf numFmtId="10" fontId="0" fillId="12" borderId="57" xfId="1" applyNumberFormat="1" applyFont="1" applyFill="1" applyBorder="1"/>
    <xf numFmtId="165" fontId="0" fillId="12" borderId="49" xfId="1" applyNumberFormat="1" applyFont="1" applyFill="1" applyBorder="1"/>
    <xf numFmtId="3" fontId="0" fillId="12" borderId="64" xfId="0" applyNumberFormat="1" applyFill="1" applyBorder="1"/>
    <xf numFmtId="10" fontId="0" fillId="12" borderId="78" xfId="1" applyNumberFormat="1" applyFont="1" applyFill="1" applyBorder="1"/>
    <xf numFmtId="3" fontId="0" fillId="12" borderId="71" xfId="0" applyNumberFormat="1" applyFill="1" applyBorder="1"/>
    <xf numFmtId="10" fontId="0" fillId="12" borderId="109" xfId="1" applyNumberFormat="1" applyFont="1" applyFill="1" applyBorder="1"/>
    <xf numFmtId="10" fontId="0" fillId="12" borderId="0" xfId="1" applyNumberFormat="1" applyFont="1" applyFill="1" applyBorder="1"/>
    <xf numFmtId="165" fontId="0" fillId="12" borderId="50" xfId="1" applyNumberFormat="1" applyFont="1" applyFill="1" applyBorder="1"/>
    <xf numFmtId="3" fontId="12" fillId="12" borderId="42" xfId="0" applyNumberFormat="1" applyFont="1" applyFill="1" applyBorder="1"/>
    <xf numFmtId="10" fontId="12" fillId="12" borderId="45" xfId="1" applyNumberFormat="1" applyFont="1" applyFill="1" applyBorder="1"/>
    <xf numFmtId="3" fontId="12" fillId="12" borderId="77" xfId="0" applyNumberFormat="1" applyFont="1" applyFill="1" applyBorder="1"/>
    <xf numFmtId="10" fontId="12" fillId="12" borderId="77" xfId="1" applyNumberFormat="1" applyFont="1" applyFill="1" applyBorder="1"/>
    <xf numFmtId="165" fontId="12" fillId="12" borderId="46" xfId="1" applyNumberFormat="1" applyFont="1" applyFill="1" applyBorder="1"/>
    <xf numFmtId="0" fontId="0" fillId="0" borderId="64" xfId="0" applyBorder="1"/>
    <xf numFmtId="10" fontId="12" fillId="10" borderId="77" xfId="0" applyNumberFormat="1" applyFont="1" applyFill="1" applyBorder="1"/>
    <xf numFmtId="10" fontId="12" fillId="10" borderId="49" xfId="0" applyNumberFormat="1" applyFont="1" applyFill="1" applyBorder="1" applyAlignment="1">
      <alignment vertical="center" wrapText="1"/>
    </xf>
    <xf numFmtId="0" fontId="0" fillId="13" borderId="56" xfId="0" applyFill="1" applyBorder="1"/>
    <xf numFmtId="10" fontId="0" fillId="13" borderId="105" xfId="1" applyNumberFormat="1" applyFont="1" applyFill="1" applyBorder="1"/>
    <xf numFmtId="0" fontId="0" fillId="13" borderId="0" xfId="0" applyFill="1"/>
    <xf numFmtId="0" fontId="0" fillId="13" borderId="57" xfId="0" applyFill="1" applyBorder="1"/>
    <xf numFmtId="10" fontId="0" fillId="13" borderId="57" xfId="1" applyNumberFormat="1" applyFont="1" applyFill="1" applyBorder="1"/>
    <xf numFmtId="165" fontId="0" fillId="13" borderId="56" xfId="1" applyNumberFormat="1" applyFont="1" applyFill="1" applyBorder="1"/>
    <xf numFmtId="165" fontId="0" fillId="13" borderId="49" xfId="1" applyNumberFormat="1" applyFont="1" applyFill="1" applyBorder="1"/>
    <xf numFmtId="0" fontId="0" fillId="13" borderId="64" xfId="0" applyFill="1" applyBorder="1"/>
    <xf numFmtId="10" fontId="0" fillId="13" borderId="78" xfId="1" applyNumberFormat="1" applyFont="1" applyFill="1" applyBorder="1"/>
    <xf numFmtId="10" fontId="0" fillId="13" borderId="0" xfId="1" applyNumberFormat="1" applyFont="1" applyFill="1" applyBorder="1"/>
    <xf numFmtId="165" fontId="0" fillId="13" borderId="0" xfId="1" applyNumberFormat="1" applyFont="1" applyFill="1" applyBorder="1"/>
    <xf numFmtId="165" fontId="0" fillId="13" borderId="50" xfId="1" applyNumberFormat="1" applyFont="1" applyFill="1" applyBorder="1"/>
    <xf numFmtId="0" fontId="0" fillId="13" borderId="71" xfId="0" applyFill="1" applyBorder="1"/>
    <xf numFmtId="0" fontId="0" fillId="13" borderId="72" xfId="0" applyFill="1" applyBorder="1"/>
    <xf numFmtId="10" fontId="0" fillId="13" borderId="109" xfId="1" applyNumberFormat="1" applyFont="1" applyFill="1" applyBorder="1"/>
    <xf numFmtId="0" fontId="12" fillId="13" borderId="42" xfId="0" applyFont="1" applyFill="1" applyBorder="1"/>
    <xf numFmtId="10" fontId="12" fillId="13" borderId="45" xfId="1" applyNumberFormat="1" applyFont="1" applyFill="1" applyBorder="1"/>
    <xf numFmtId="0" fontId="12" fillId="13" borderId="77" xfId="0" applyFont="1" applyFill="1" applyBorder="1"/>
    <xf numFmtId="10" fontId="12" fillId="13" borderId="77" xfId="1" applyNumberFormat="1" applyFont="1" applyFill="1" applyBorder="1"/>
    <xf numFmtId="165" fontId="12" fillId="13" borderId="77" xfId="1" applyNumberFormat="1" applyFont="1" applyFill="1" applyBorder="1"/>
    <xf numFmtId="165" fontId="12" fillId="13" borderId="46" xfId="1" applyNumberFormat="1" applyFont="1" applyFill="1" applyBorder="1"/>
    <xf numFmtId="3" fontId="0" fillId="13" borderId="56" xfId="0" applyNumberFormat="1" applyFill="1" applyBorder="1"/>
    <xf numFmtId="3" fontId="0" fillId="13" borderId="57" xfId="0" applyNumberFormat="1" applyFill="1" applyBorder="1"/>
    <xf numFmtId="3" fontId="0" fillId="13" borderId="64" xfId="0" applyNumberFormat="1" applyFill="1" applyBorder="1"/>
    <xf numFmtId="3" fontId="0" fillId="13" borderId="0" xfId="0" applyNumberFormat="1" applyFill="1"/>
    <xf numFmtId="3" fontId="0" fillId="13" borderId="71" xfId="0" applyNumberFormat="1" applyFill="1" applyBorder="1"/>
    <xf numFmtId="3" fontId="0" fillId="13" borderId="72" xfId="0" applyNumberFormat="1" applyFill="1" applyBorder="1"/>
    <xf numFmtId="3" fontId="12" fillId="13" borderId="42" xfId="0" applyNumberFormat="1" applyFont="1" applyFill="1" applyBorder="1"/>
    <xf numFmtId="3" fontId="12" fillId="13" borderId="77" xfId="0" applyNumberFormat="1" applyFont="1" applyFill="1" applyBorder="1"/>
    <xf numFmtId="3" fontId="0" fillId="14" borderId="56" xfId="0" applyNumberFormat="1" applyFill="1" applyBorder="1"/>
    <xf numFmtId="10" fontId="0" fillId="14" borderId="105" xfId="1" applyNumberFormat="1" applyFont="1" applyFill="1" applyBorder="1"/>
    <xf numFmtId="3" fontId="0" fillId="14" borderId="0" xfId="0" applyNumberFormat="1" applyFill="1"/>
    <xf numFmtId="3" fontId="0" fillId="14" borderId="57" xfId="0" applyNumberFormat="1" applyFill="1" applyBorder="1"/>
    <xf numFmtId="10" fontId="0" fillId="14" borderId="57" xfId="1" applyNumberFormat="1" applyFont="1" applyFill="1" applyBorder="1"/>
    <xf numFmtId="165" fontId="0" fillId="14" borderId="56" xfId="1" applyNumberFormat="1" applyFont="1" applyFill="1" applyBorder="1"/>
    <xf numFmtId="165" fontId="0" fillId="14" borderId="49" xfId="1" applyNumberFormat="1" applyFont="1" applyFill="1" applyBorder="1"/>
    <xf numFmtId="3" fontId="0" fillId="14" borderId="64" xfId="0" applyNumberFormat="1" applyFill="1" applyBorder="1"/>
    <xf numFmtId="10" fontId="0" fillId="14" borderId="78" xfId="1" applyNumberFormat="1" applyFont="1" applyFill="1" applyBorder="1"/>
    <xf numFmtId="10" fontId="0" fillId="14" borderId="0" xfId="1" applyNumberFormat="1" applyFont="1" applyFill="1" applyBorder="1"/>
    <xf numFmtId="165" fontId="0" fillId="14" borderId="0" xfId="1" applyNumberFormat="1" applyFont="1" applyFill="1" applyBorder="1"/>
    <xf numFmtId="165" fontId="0" fillId="14" borderId="50" xfId="1" applyNumberFormat="1" applyFont="1" applyFill="1" applyBorder="1"/>
    <xf numFmtId="3" fontId="0" fillId="14" borderId="71" xfId="0" applyNumberFormat="1" applyFill="1" applyBorder="1"/>
    <xf numFmtId="3" fontId="0" fillId="14" borderId="72" xfId="0" applyNumberFormat="1" applyFill="1" applyBorder="1"/>
    <xf numFmtId="10" fontId="0" fillId="14" borderId="109" xfId="1" applyNumberFormat="1" applyFont="1" applyFill="1" applyBorder="1"/>
    <xf numFmtId="3" fontId="12" fillId="14" borderId="42" xfId="0" applyNumberFormat="1" applyFont="1" applyFill="1" applyBorder="1"/>
    <xf numFmtId="10" fontId="12" fillId="14" borderId="45" xfId="1" applyNumberFormat="1" applyFont="1" applyFill="1" applyBorder="1"/>
    <xf numFmtId="3" fontId="12" fillId="14" borderId="77" xfId="0" applyNumberFormat="1" applyFont="1" applyFill="1" applyBorder="1"/>
    <xf numFmtId="10" fontId="12" fillId="14" borderId="77" xfId="1" applyNumberFormat="1" applyFont="1" applyFill="1" applyBorder="1"/>
    <xf numFmtId="165" fontId="12" fillId="14" borderId="77" xfId="1" applyNumberFormat="1" applyFont="1" applyFill="1" applyBorder="1"/>
    <xf numFmtId="165" fontId="12" fillId="14" borderId="46" xfId="1" applyNumberFormat="1" applyFont="1" applyFill="1" applyBorder="1"/>
    <xf numFmtId="0" fontId="8" fillId="0" borderId="0" xfId="5" applyFont="1" applyAlignment="1">
      <alignment horizontal="left" vertical="center"/>
    </xf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3" fontId="5" fillId="0" borderId="14" xfId="10" applyNumberFormat="1" applyFont="1" applyBorder="1" applyAlignment="1">
      <alignment vertical="center"/>
    </xf>
    <xf numFmtId="4" fontId="0" fillId="0" borderId="0" xfId="1" applyNumberFormat="1" applyFont="1" applyFill="1" applyBorder="1" applyAlignment="1">
      <alignment horizontal="right" indent="1"/>
    </xf>
    <xf numFmtId="10" fontId="8" fillId="0" borderId="98" xfId="1" applyNumberFormat="1" applyFont="1" applyBorder="1" applyAlignment="1">
      <alignment horizontal="right" vertical="center" wrapText="1" indent="1"/>
    </xf>
    <xf numFmtId="10" fontId="8" fillId="0" borderId="102" xfId="1" applyNumberFormat="1" applyFont="1" applyBorder="1" applyAlignment="1">
      <alignment horizontal="right" vertical="center" wrapText="1" indent="1"/>
    </xf>
    <xf numFmtId="10" fontId="5" fillId="0" borderId="41" xfId="1" applyNumberFormat="1" applyFont="1" applyBorder="1" applyAlignment="1">
      <alignment horizontal="right" vertical="center" indent="1"/>
    </xf>
    <xf numFmtId="3" fontId="8" fillId="0" borderId="0" xfId="5" applyNumberFormat="1" applyFont="1" applyAlignment="1">
      <alignment horizontal="right" vertical="center"/>
    </xf>
    <xf numFmtId="165" fontId="0" fillId="0" borderId="0" xfId="0" applyNumberFormat="1"/>
    <xf numFmtId="0" fontId="0" fillId="11" borderId="71" xfId="0" applyFill="1" applyBorder="1" applyAlignment="1">
      <alignment horizontal="center" vertical="center" wrapText="1"/>
    </xf>
    <xf numFmtId="3" fontId="0" fillId="11" borderId="72" xfId="0" applyNumberFormat="1" applyFill="1" applyBorder="1" applyAlignment="1">
      <alignment wrapText="1"/>
    </xf>
    <xf numFmtId="3" fontId="0" fillId="11" borderId="0" xfId="0" applyNumberFormat="1" applyFill="1" applyAlignment="1">
      <alignment wrapText="1"/>
    </xf>
    <xf numFmtId="10" fontId="0" fillId="11" borderId="109" xfId="1" applyNumberFormat="1" applyFont="1" applyFill="1" applyBorder="1" applyAlignment="1">
      <alignment wrapText="1"/>
    </xf>
    <xf numFmtId="3" fontId="0" fillId="11" borderId="64" xfId="0" applyNumberFormat="1" applyFill="1" applyBorder="1" applyAlignment="1">
      <alignment wrapText="1"/>
    </xf>
    <xf numFmtId="10" fontId="0" fillId="11" borderId="78" xfId="1" applyNumberFormat="1" applyFont="1" applyFill="1" applyBorder="1" applyAlignment="1">
      <alignment wrapText="1"/>
    </xf>
    <xf numFmtId="10" fontId="0" fillId="11" borderId="0" xfId="1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13" borderId="50" xfId="0" applyFill="1" applyBorder="1" applyAlignment="1">
      <alignment horizontal="left" vertical="center" indent="1"/>
    </xf>
    <xf numFmtId="0" fontId="8" fillId="13" borderId="50" xfId="5" applyFont="1" applyFill="1" applyBorder="1" applyAlignment="1">
      <alignment horizontal="left" vertical="center" indent="1"/>
    </xf>
    <xf numFmtId="10" fontId="0" fillId="13" borderId="78" xfId="1" applyNumberFormat="1" applyFont="1" applyFill="1" applyBorder="1" applyAlignment="1"/>
    <xf numFmtId="10" fontId="0" fillId="13" borderId="0" xfId="1" applyNumberFormat="1" applyFont="1" applyFill="1" applyBorder="1" applyAlignment="1"/>
    <xf numFmtId="0" fontId="6" fillId="0" borderId="35" xfId="10" applyFont="1" applyBorder="1" applyAlignment="1">
      <alignment horizontal="left" vertical="center"/>
    </xf>
    <xf numFmtId="0" fontId="6" fillId="0" borderId="81" xfId="10" applyFont="1" applyBorder="1" applyAlignment="1">
      <alignment horizontal="left" vertical="center"/>
    </xf>
    <xf numFmtId="3" fontId="0" fillId="11" borderId="57" xfId="1" applyNumberFormat="1" applyFont="1" applyFill="1" applyBorder="1"/>
    <xf numFmtId="3" fontId="0" fillId="11" borderId="0" xfId="1" applyNumberFormat="1" applyFont="1" applyFill="1" applyBorder="1"/>
    <xf numFmtId="0" fontId="8" fillId="11" borderId="51" xfId="5" applyFont="1" applyFill="1" applyBorder="1" applyAlignment="1">
      <alignment horizontal="left" vertical="center" indent="1"/>
    </xf>
    <xf numFmtId="3" fontId="0" fillId="11" borderId="0" xfId="1" applyNumberFormat="1" applyFont="1" applyFill="1" applyBorder="1" applyAlignment="1">
      <alignment wrapText="1"/>
    </xf>
    <xf numFmtId="3" fontId="0" fillId="11" borderId="56" xfId="1" applyNumberFormat="1" applyFont="1" applyFill="1" applyBorder="1"/>
    <xf numFmtId="3" fontId="0" fillId="11" borderId="64" xfId="1" applyNumberFormat="1" applyFont="1" applyFill="1" applyBorder="1"/>
    <xf numFmtId="3" fontId="0" fillId="11" borderId="71" xfId="0" applyNumberFormat="1" applyFill="1" applyBorder="1" applyAlignment="1">
      <alignment wrapText="1"/>
    </xf>
    <xf numFmtId="3" fontId="0" fillId="0" borderId="0" xfId="0" applyNumberFormat="1" applyAlignment="1">
      <alignment wrapText="1"/>
    </xf>
    <xf numFmtId="10" fontId="0" fillId="0" borderId="0" xfId="1" applyNumberFormat="1" applyFont="1" applyFill="1" applyBorder="1" applyAlignment="1">
      <alignment wrapText="1"/>
    </xf>
    <xf numFmtId="3" fontId="0" fillId="11" borderId="64" xfId="1" applyNumberFormat="1" applyFont="1" applyFill="1" applyBorder="1" applyAlignment="1">
      <alignment wrapText="1"/>
    </xf>
    <xf numFmtId="165" fontId="12" fillId="0" borderId="0" xfId="1" applyNumberFormat="1" applyFont="1" applyFill="1" applyBorder="1"/>
    <xf numFmtId="3" fontId="12" fillId="0" borderId="57" xfId="0" applyNumberFormat="1" applyFont="1" applyBorder="1"/>
    <xf numFmtId="10" fontId="12" fillId="0" borderId="57" xfId="1" applyNumberFormat="1" applyFont="1" applyFill="1" applyBorder="1"/>
    <xf numFmtId="3" fontId="0" fillId="0" borderId="64" xfId="0" applyNumberFormat="1" applyBorder="1"/>
    <xf numFmtId="10" fontId="0" fillId="0" borderId="78" xfId="1" applyNumberFormat="1" applyFont="1" applyFill="1" applyBorder="1"/>
    <xf numFmtId="3" fontId="12" fillId="0" borderId="64" xfId="0" applyNumberFormat="1" applyFont="1" applyBorder="1"/>
    <xf numFmtId="10" fontId="12" fillId="0" borderId="78" xfId="1" applyNumberFormat="1" applyFont="1" applyFill="1" applyBorder="1"/>
    <xf numFmtId="3" fontId="0" fillId="13" borderId="57" xfId="1" applyNumberFormat="1" applyFont="1" applyFill="1" applyBorder="1"/>
    <xf numFmtId="3" fontId="0" fillId="13" borderId="0" xfId="1" applyNumberFormat="1" applyFont="1" applyFill="1" applyBorder="1" applyAlignment="1"/>
    <xf numFmtId="3" fontId="0" fillId="13" borderId="0" xfId="1" applyNumberFormat="1" applyFont="1" applyFill="1" applyBorder="1"/>
    <xf numFmtId="0" fontId="0" fillId="0" borderId="57" xfId="0" applyBorder="1"/>
    <xf numFmtId="0" fontId="8" fillId="13" borderId="56" xfId="5" applyFont="1" applyFill="1" applyBorder="1" applyAlignment="1">
      <alignment horizontal="left" vertical="center" wrapText="1" indent="1"/>
    </xf>
    <xf numFmtId="3" fontId="0" fillId="13" borderId="56" xfId="1" applyNumberFormat="1" applyFont="1" applyFill="1" applyBorder="1"/>
    <xf numFmtId="10" fontId="0" fillId="0" borderId="0" xfId="1" applyNumberFormat="1" applyFont="1" applyFill="1" applyBorder="1" applyAlignment="1"/>
    <xf numFmtId="3" fontId="0" fillId="13" borderId="64" xfId="1" applyNumberFormat="1" applyFont="1" applyFill="1" applyBorder="1" applyAlignment="1"/>
    <xf numFmtId="3" fontId="0" fillId="13" borderId="64" xfId="1" applyNumberFormat="1" applyFont="1" applyFill="1" applyBorder="1"/>
    <xf numFmtId="3" fontId="0" fillId="13" borderId="71" xfId="1" applyNumberFormat="1" applyFont="1" applyFill="1" applyBorder="1"/>
    <xf numFmtId="0" fontId="12" fillId="13" borderId="42" xfId="0" applyFont="1" applyFill="1" applyBorder="1" applyAlignment="1">
      <alignment horizontal="center"/>
    </xf>
    <xf numFmtId="10" fontId="0" fillId="14" borderId="56" xfId="1" applyNumberFormat="1" applyFont="1" applyFill="1" applyBorder="1"/>
    <xf numFmtId="10" fontId="0" fillId="14" borderId="64" xfId="1" applyNumberFormat="1" applyFont="1" applyFill="1" applyBorder="1"/>
    <xf numFmtId="10" fontId="12" fillId="14" borderId="42" xfId="1" applyNumberFormat="1" applyFont="1" applyFill="1" applyBorder="1"/>
    <xf numFmtId="0" fontId="8" fillId="14" borderId="56" xfId="5" applyFont="1" applyFill="1" applyBorder="1" applyAlignment="1">
      <alignment horizontal="left" vertical="center" wrapText="1" indent="1"/>
    </xf>
    <xf numFmtId="0" fontId="8" fillId="14" borderId="64" xfId="5" applyFont="1" applyFill="1" applyBorder="1" applyAlignment="1">
      <alignment horizontal="left" vertical="center" wrapText="1" indent="1"/>
    </xf>
    <xf numFmtId="0" fontId="8" fillId="14" borderId="71" xfId="5" applyFont="1" applyFill="1" applyBorder="1" applyAlignment="1">
      <alignment horizontal="left" vertical="center" wrapText="1" indent="1"/>
    </xf>
    <xf numFmtId="0" fontId="8" fillId="0" borderId="0" xfId="0" applyFont="1"/>
    <xf numFmtId="0" fontId="8" fillId="0" borderId="1" xfId="8" applyFont="1" applyBorder="1" applyAlignment="1">
      <alignment horizontal="center" vertical="center"/>
    </xf>
    <xf numFmtId="0" fontId="8" fillId="0" borderId="2" xfId="5" applyFont="1" applyBorder="1" applyAlignment="1">
      <alignment horizontal="left" vertical="center" wrapText="1" indent="1"/>
    </xf>
    <xf numFmtId="3" fontId="8" fillId="0" borderId="45" xfId="1" applyNumberFormat="1" applyFont="1" applyBorder="1" applyAlignment="1">
      <alignment horizontal="right" vertical="center" wrapText="1" indent="1"/>
    </xf>
    <xf numFmtId="3" fontId="8" fillId="0" borderId="113" xfId="8" applyNumberFormat="1" applyFont="1" applyBorder="1" applyAlignment="1">
      <alignment horizontal="right" vertical="center" indent="1"/>
    </xf>
    <xf numFmtId="3" fontId="8" fillId="0" borderId="116" xfId="8" applyNumberFormat="1" applyFont="1" applyBorder="1" applyAlignment="1">
      <alignment horizontal="right" vertical="center" indent="1"/>
    </xf>
    <xf numFmtId="3" fontId="8" fillId="0" borderId="108" xfId="8" applyNumberFormat="1" applyFont="1" applyBorder="1" applyAlignment="1">
      <alignment horizontal="right" vertical="center" indent="1"/>
    </xf>
    <xf numFmtId="3" fontId="7" fillId="0" borderId="46" xfId="8" applyNumberFormat="1" applyFont="1" applyBorder="1" applyAlignment="1">
      <alignment horizontal="right" vertical="center" indent="1"/>
    </xf>
    <xf numFmtId="3" fontId="5" fillId="0" borderId="11" xfId="10" applyNumberFormat="1" applyFont="1" applyBorder="1" applyAlignment="1">
      <alignment horizontal="center" vertical="center"/>
    </xf>
    <xf numFmtId="3" fontId="0" fillId="0" borderId="0" xfId="1" applyNumberFormat="1" applyFont="1"/>
    <xf numFmtId="0" fontId="38" fillId="0" borderId="81" xfId="5" applyFont="1" applyBorder="1" applyAlignment="1">
      <alignment horizontal="left" indent="1"/>
    </xf>
    <xf numFmtId="3" fontId="38" fillId="0" borderId="34" xfId="5" applyNumberFormat="1" applyFont="1" applyBorder="1" applyAlignment="1">
      <alignment horizontal="right" vertical="center" indent="1"/>
    </xf>
    <xf numFmtId="3" fontId="38" fillId="0" borderId="81" xfId="5" applyNumberFormat="1" applyFont="1" applyBorder="1" applyAlignment="1">
      <alignment horizontal="right" vertical="center" indent="1"/>
    </xf>
    <xf numFmtId="0" fontId="38" fillId="0" borderId="0" xfId="5" applyFont="1" applyAlignment="1">
      <alignment horizontal="left" indent="1"/>
    </xf>
    <xf numFmtId="0" fontId="0" fillId="0" borderId="0" xfId="0" applyAlignment="1">
      <alignment horizontal="center" wrapText="1"/>
    </xf>
    <xf numFmtId="10" fontId="0" fillId="0" borderId="0" xfId="1" applyNumberFormat="1" applyFont="1" applyFill="1"/>
    <xf numFmtId="0" fontId="6" fillId="0" borderId="0" xfId="0" applyFont="1" applyAlignment="1">
      <alignment horizontal="right" vertical="center"/>
    </xf>
    <xf numFmtId="0" fontId="7" fillId="0" borderId="106" xfId="8" applyFont="1" applyBorder="1" applyAlignment="1">
      <alignment horizontal="center" wrapText="1"/>
    </xf>
    <xf numFmtId="0" fontId="3" fillId="0" borderId="0" xfId="2" applyFont="1" applyAlignment="1">
      <alignment horizontal="center"/>
    </xf>
    <xf numFmtId="3" fontId="8" fillId="0" borderId="53" xfId="1" applyNumberFormat="1" applyFont="1" applyBorder="1" applyAlignment="1">
      <alignment horizontal="right" vertical="center" indent="1"/>
    </xf>
    <xf numFmtId="3" fontId="8" fillId="6" borderId="53" xfId="1" applyNumberFormat="1" applyFont="1" applyFill="1" applyBorder="1" applyAlignment="1">
      <alignment horizontal="right" vertical="center" indent="1"/>
    </xf>
    <xf numFmtId="3" fontId="8" fillId="6" borderId="117" xfId="1" applyNumberFormat="1" applyFont="1" applyFill="1" applyBorder="1" applyAlignment="1">
      <alignment horizontal="right" vertical="center" indent="1"/>
    </xf>
    <xf numFmtId="3" fontId="5" fillId="6" borderId="42" xfId="1" applyNumberFormat="1" applyFont="1" applyFill="1" applyBorder="1" applyAlignment="1">
      <alignment horizontal="right" vertical="center" indent="1"/>
    </xf>
    <xf numFmtId="176" fontId="0" fillId="0" borderId="0" xfId="0" applyNumberFormat="1"/>
    <xf numFmtId="0" fontId="8" fillId="0" borderId="0" xfId="0" applyFont="1" applyAlignment="1">
      <alignment horizontal="left" wrapText="1"/>
    </xf>
    <xf numFmtId="0" fontId="5" fillId="0" borderId="14" xfId="10" applyFont="1" applyBorder="1" applyAlignment="1">
      <alignment horizontal="left" vertical="center"/>
    </xf>
    <xf numFmtId="0" fontId="6" fillId="0" borderId="0" xfId="10" applyFont="1" applyAlignment="1">
      <alignment horizontal="left" vertical="center"/>
    </xf>
    <xf numFmtId="0" fontId="14" fillId="6" borderId="3" xfId="10" applyFont="1" applyFill="1" applyBorder="1" applyAlignment="1">
      <alignment horizontal="left" vertical="center"/>
    </xf>
    <xf numFmtId="0" fontId="14" fillId="6" borderId="77" xfId="10" applyFont="1" applyFill="1" applyBorder="1" applyAlignment="1">
      <alignment horizontal="left" vertical="center"/>
    </xf>
    <xf numFmtId="0" fontId="17" fillId="0" borderId="21" xfId="10" applyFont="1" applyBorder="1" applyAlignment="1">
      <alignment horizontal="left" vertical="center"/>
    </xf>
    <xf numFmtId="0" fontId="17" fillId="0" borderId="54" xfId="10" applyFont="1" applyBorder="1" applyAlignment="1">
      <alignment horizontal="left" vertical="center"/>
    </xf>
    <xf numFmtId="0" fontId="17" fillId="0" borderId="16" xfId="10" applyFont="1" applyBorder="1" applyAlignment="1">
      <alignment horizontal="left" vertical="center"/>
    </xf>
    <xf numFmtId="0" fontId="6" fillId="0" borderId="11" xfId="10" applyFont="1" applyBorder="1" applyAlignment="1">
      <alignment horizontal="left" vertical="center"/>
    </xf>
    <xf numFmtId="0" fontId="6" fillId="0" borderId="8" xfId="10" applyFont="1" applyBorder="1" applyAlignment="1">
      <alignment horizontal="left" vertical="center"/>
    </xf>
    <xf numFmtId="0" fontId="6" fillId="0" borderId="21" xfId="10" applyFont="1" applyBorder="1" applyAlignment="1">
      <alignment horizontal="left" vertical="center"/>
    </xf>
    <xf numFmtId="0" fontId="6" fillId="0" borderId="54" xfId="10" applyFont="1" applyBorder="1" applyAlignment="1">
      <alignment horizontal="left" vertical="center"/>
    </xf>
    <xf numFmtId="0" fontId="6" fillId="0" borderId="24" xfId="10" applyFont="1" applyBorder="1" applyAlignment="1">
      <alignment horizontal="left" vertical="center"/>
    </xf>
    <xf numFmtId="0" fontId="6" fillId="0" borderId="84" xfId="10" applyFont="1" applyBorder="1" applyAlignment="1">
      <alignment horizontal="left" vertical="center"/>
    </xf>
    <xf numFmtId="0" fontId="23" fillId="6" borderId="3" xfId="10" applyFont="1" applyFill="1" applyBorder="1" applyAlignment="1">
      <alignment horizontal="left" vertical="center"/>
    </xf>
    <xf numFmtId="0" fontId="23" fillId="6" borderId="77" xfId="10" applyFont="1" applyFill="1" applyBorder="1" applyAlignment="1">
      <alignment horizontal="left" vertical="center"/>
    </xf>
    <xf numFmtId="0" fontId="23" fillId="6" borderId="32" xfId="10" applyFont="1" applyFill="1" applyBorder="1" applyAlignment="1">
      <alignment horizontal="left" vertical="center"/>
    </xf>
    <xf numFmtId="0" fontId="23" fillId="6" borderId="72" xfId="10" applyFont="1" applyFill="1" applyBorder="1" applyAlignment="1">
      <alignment horizontal="left" vertical="center"/>
    </xf>
    <xf numFmtId="0" fontId="30" fillId="0" borderId="24" xfId="10" applyFont="1" applyBorder="1" applyAlignment="1">
      <alignment horizontal="left" vertical="center"/>
    </xf>
    <xf numFmtId="0" fontId="30" fillId="0" borderId="84" xfId="10" applyFont="1" applyBorder="1" applyAlignment="1">
      <alignment horizontal="left" vertical="center"/>
    </xf>
    <xf numFmtId="0" fontId="30" fillId="0" borderId="85" xfId="10" applyFont="1" applyBorder="1" applyAlignment="1">
      <alignment horizontal="left" vertical="center"/>
    </xf>
    <xf numFmtId="10" fontId="18" fillId="0" borderId="58" xfId="10" applyNumberFormat="1" applyFont="1" applyBorder="1" applyAlignment="1">
      <alignment horizontal="center" vertical="center" wrapText="1"/>
    </xf>
    <xf numFmtId="10" fontId="18" fillId="0" borderId="65" xfId="10" applyNumberFormat="1" applyFont="1" applyBorder="1" applyAlignment="1">
      <alignment horizontal="center" vertical="center" wrapText="1"/>
    </xf>
    <xf numFmtId="10" fontId="18" fillId="0" borderId="29" xfId="10" applyNumberFormat="1" applyFont="1" applyBorder="1" applyAlignment="1">
      <alignment horizontal="center" vertical="center" wrapText="1"/>
    </xf>
    <xf numFmtId="49" fontId="18" fillId="0" borderId="15" xfId="10" applyNumberFormat="1" applyFont="1" applyBorder="1" applyAlignment="1">
      <alignment horizontal="center" vertical="center" wrapText="1"/>
    </xf>
    <xf numFmtId="49" fontId="18" fillId="0" borderId="19" xfId="10" applyNumberFormat="1" applyFont="1" applyBorder="1" applyAlignment="1">
      <alignment horizontal="center" vertical="center" wrapText="1"/>
    </xf>
    <xf numFmtId="49" fontId="18" fillId="0" borderId="26" xfId="10" applyNumberFormat="1" applyFont="1" applyBorder="1" applyAlignment="1">
      <alignment horizontal="center" vertical="center" wrapText="1"/>
    </xf>
    <xf numFmtId="1" fontId="5" fillId="0" borderId="3" xfId="10" applyNumberFormat="1" applyFont="1" applyBorder="1" applyAlignment="1">
      <alignment horizontal="center" vertical="center"/>
    </xf>
    <xf numFmtId="1" fontId="5" fillId="0" borderId="77" xfId="10" applyNumberFormat="1" applyFont="1" applyBorder="1" applyAlignment="1">
      <alignment horizontal="center" vertical="center"/>
    </xf>
    <xf numFmtId="0" fontId="6" fillId="6" borderId="11" xfId="10" applyFont="1" applyFill="1" applyBorder="1" applyAlignment="1">
      <alignment horizontal="left" vertical="center"/>
    </xf>
    <xf numFmtId="0" fontId="6" fillId="6" borderId="8" xfId="10" applyFont="1" applyFill="1" applyBorder="1" applyAlignment="1">
      <alignment horizontal="left" vertical="center"/>
    </xf>
    <xf numFmtId="0" fontId="6" fillId="0" borderId="35" xfId="10" applyFont="1" applyBorder="1" applyAlignment="1">
      <alignment horizontal="left" vertical="center"/>
    </xf>
    <xf numFmtId="0" fontId="6" fillId="0" borderId="81" xfId="10" applyFont="1" applyBorder="1" applyAlignment="1">
      <alignment horizontal="left" vertical="center"/>
    </xf>
    <xf numFmtId="49" fontId="18" fillId="0" borderId="6" xfId="10" applyNumberFormat="1" applyFont="1" applyBorder="1" applyAlignment="1">
      <alignment horizontal="center" vertical="center" wrapText="1"/>
    </xf>
    <xf numFmtId="49" fontId="18" fillId="0" borderId="28" xfId="10" applyNumberFormat="1" applyFont="1" applyBorder="1" applyAlignment="1">
      <alignment horizontal="center" vertical="center" wrapText="1"/>
    </xf>
    <xf numFmtId="49" fontId="18" fillId="0" borderId="31" xfId="10" applyNumberFormat="1" applyFont="1" applyBorder="1" applyAlignment="1">
      <alignment horizontal="center" vertical="center" wrapText="1"/>
    </xf>
    <xf numFmtId="49" fontId="7" fillId="7" borderId="62" xfId="10" applyNumberFormat="1" applyFont="1" applyFill="1" applyBorder="1" applyAlignment="1">
      <alignment horizontal="center" vertical="center" wrapText="1"/>
    </xf>
    <xf numFmtId="49" fontId="7" fillId="7" borderId="70" xfId="10" applyNumberFormat="1" applyFont="1" applyFill="1" applyBorder="1" applyAlignment="1">
      <alignment horizontal="center" vertical="center" wrapText="1"/>
    </xf>
    <xf numFmtId="49" fontId="7" fillId="7" borderId="76" xfId="10" applyNumberFormat="1" applyFont="1" applyFill="1" applyBorder="1" applyAlignment="1">
      <alignment horizontal="center" vertical="center" wrapText="1"/>
    </xf>
    <xf numFmtId="10" fontId="18" fillId="0" borderId="52" xfId="10" applyNumberFormat="1" applyFont="1" applyBorder="1" applyAlignment="1">
      <alignment horizontal="center" vertical="center" wrapText="1"/>
    </xf>
    <xf numFmtId="10" fontId="18" fillId="0" borderId="66" xfId="10" applyNumberFormat="1" applyFont="1" applyBorder="1" applyAlignment="1">
      <alignment horizontal="center" vertical="center" wrapText="1"/>
    </xf>
    <xf numFmtId="10" fontId="18" fillId="0" borderId="30" xfId="10" applyNumberFormat="1" applyFont="1" applyBorder="1" applyAlignment="1">
      <alignment horizontal="center" vertical="center" wrapText="1"/>
    </xf>
    <xf numFmtId="49" fontId="18" fillId="0" borderId="59" xfId="10" applyNumberFormat="1" applyFont="1" applyBorder="1" applyAlignment="1">
      <alignment horizontal="center" vertical="center" wrapText="1"/>
    </xf>
    <xf numFmtId="49" fontId="18" fillId="0" borderId="67" xfId="10" applyNumberFormat="1" applyFont="1" applyBorder="1" applyAlignment="1">
      <alignment horizontal="center" vertical="center" wrapText="1"/>
    </xf>
    <xf numFmtId="49" fontId="18" fillId="0" borderId="73" xfId="10" applyNumberFormat="1" applyFont="1" applyBorder="1" applyAlignment="1">
      <alignment horizontal="center" vertical="center" wrapText="1"/>
    </xf>
    <xf numFmtId="49" fontId="7" fillId="8" borderId="60" xfId="10" applyNumberFormat="1" applyFont="1" applyFill="1" applyBorder="1" applyAlignment="1">
      <alignment horizontal="center" vertical="center" wrapText="1"/>
    </xf>
    <xf numFmtId="49" fontId="7" fillId="8" borderId="68" xfId="10" applyNumberFormat="1" applyFont="1" applyFill="1" applyBorder="1" applyAlignment="1">
      <alignment horizontal="center" vertical="center" wrapText="1"/>
    </xf>
    <xf numFmtId="49" fontId="7" fillId="8" borderId="74" xfId="10" applyNumberFormat="1" applyFont="1" applyFill="1" applyBorder="1" applyAlignment="1">
      <alignment horizontal="center" vertical="center" wrapText="1"/>
    </xf>
    <xf numFmtId="10" fontId="18" fillId="0" borderId="61" xfId="10" applyNumberFormat="1" applyFont="1" applyBorder="1" applyAlignment="1">
      <alignment horizontal="center" vertical="center" wrapText="1"/>
    </xf>
    <xf numFmtId="10" fontId="18" fillId="0" borderId="69" xfId="10" applyNumberFormat="1" applyFont="1" applyBorder="1" applyAlignment="1">
      <alignment horizontal="center" vertical="center" wrapText="1"/>
    </xf>
    <xf numFmtId="10" fontId="18" fillId="0" borderId="75" xfId="10" applyNumberFormat="1" applyFont="1" applyBorder="1" applyAlignment="1">
      <alignment horizontal="center" vertical="center" wrapText="1"/>
    </xf>
    <xf numFmtId="0" fontId="5" fillId="6" borderId="22" xfId="11" applyFont="1" applyFill="1" applyBorder="1" applyAlignment="1">
      <alignment horizontal="left" vertical="center" wrapText="1"/>
    </xf>
    <xf numFmtId="0" fontId="5" fillId="6" borderId="23" xfId="11" applyFont="1" applyFill="1" applyBorder="1" applyAlignment="1">
      <alignment horizontal="left" vertical="center" wrapText="1"/>
    </xf>
    <xf numFmtId="0" fontId="5" fillId="6" borderId="20" xfId="10" applyFont="1" applyFill="1" applyBorder="1" applyAlignment="1">
      <alignment horizontal="left" vertical="center" wrapText="1"/>
    </xf>
    <xf numFmtId="0" fontId="5" fillId="6" borderId="14" xfId="10" applyFont="1" applyFill="1" applyBorder="1" applyAlignment="1">
      <alignment horizontal="left" vertical="center" wrapText="1"/>
    </xf>
    <xf numFmtId="0" fontId="6" fillId="6" borderId="0" xfId="10" applyFont="1" applyFill="1" applyAlignment="1">
      <alignment horizontal="center" vertical="center"/>
    </xf>
    <xf numFmtId="0" fontId="5" fillId="6" borderId="22" xfId="10" applyFont="1" applyFill="1" applyBorder="1" applyAlignment="1">
      <alignment horizontal="left" vertical="center" wrapText="1"/>
    </xf>
    <xf numFmtId="0" fontId="5" fillId="6" borderId="23" xfId="10" applyFont="1" applyFill="1" applyBorder="1" applyAlignment="1">
      <alignment horizontal="left" vertical="center" wrapText="1"/>
    </xf>
    <xf numFmtId="0" fontId="17" fillId="6" borderId="0" xfId="10" applyFont="1" applyFill="1" applyAlignment="1">
      <alignment horizontal="left" vertical="center"/>
    </xf>
    <xf numFmtId="0" fontId="5" fillId="0" borderId="5" xfId="10" applyFont="1" applyBorder="1" applyAlignment="1">
      <alignment horizontal="center" vertical="center" textRotation="90" wrapText="1"/>
    </xf>
    <xf numFmtId="0" fontId="5" fillId="0" borderId="27" xfId="10" applyFont="1" applyBorder="1" applyAlignment="1">
      <alignment horizontal="center" vertical="center" textRotation="90" wrapText="1"/>
    </xf>
    <xf numFmtId="0" fontId="5" fillId="0" borderId="55" xfId="10" applyFont="1" applyBorder="1" applyAlignment="1">
      <alignment horizontal="center" vertical="center" textRotation="90" wrapText="1"/>
    </xf>
    <xf numFmtId="0" fontId="5" fillId="0" borderId="63" xfId="10" applyFont="1" applyBorder="1" applyAlignment="1">
      <alignment horizontal="center" vertical="center" textRotation="90" wrapText="1"/>
    </xf>
    <xf numFmtId="0" fontId="5" fillId="0" borderId="56" xfId="10" applyFont="1" applyBorder="1" applyAlignment="1">
      <alignment horizontal="center" vertical="center" wrapText="1"/>
    </xf>
    <xf numFmtId="0" fontId="5" fillId="0" borderId="57" xfId="10" applyFont="1" applyBorder="1" applyAlignment="1">
      <alignment horizontal="center" vertical="center" wrapText="1"/>
    </xf>
    <xf numFmtId="0" fontId="5" fillId="0" borderId="58" xfId="10" applyFont="1" applyBorder="1" applyAlignment="1">
      <alignment horizontal="center" vertical="center" wrapText="1"/>
    </xf>
    <xf numFmtId="0" fontId="5" fillId="0" borderId="64" xfId="10" applyFont="1" applyBorder="1" applyAlignment="1">
      <alignment horizontal="center" vertical="center" wrapText="1"/>
    </xf>
    <xf numFmtId="0" fontId="5" fillId="0" borderId="0" xfId="10" applyFont="1" applyAlignment="1">
      <alignment horizontal="center" vertical="center" wrapText="1"/>
    </xf>
    <xf numFmtId="0" fontId="5" fillId="0" borderId="65" xfId="10" applyFont="1" applyBorder="1" applyAlignment="1">
      <alignment horizontal="center" vertical="center" wrapText="1"/>
    </xf>
    <xf numFmtId="0" fontId="5" fillId="0" borderId="71" xfId="10" applyFont="1" applyBorder="1" applyAlignment="1">
      <alignment horizontal="center" vertical="center" wrapText="1"/>
    </xf>
    <xf numFmtId="0" fontId="5" fillId="0" borderId="72" xfId="10" applyFont="1" applyBorder="1" applyAlignment="1">
      <alignment horizontal="center" vertical="center" wrapText="1"/>
    </xf>
    <xf numFmtId="0" fontId="5" fillId="0" borderId="29" xfId="10" applyFont="1" applyBorder="1" applyAlignment="1">
      <alignment horizontal="center" vertical="center" wrapText="1"/>
    </xf>
    <xf numFmtId="49" fontId="5" fillId="0" borderId="10" xfId="10" applyNumberFormat="1" applyFont="1" applyBorder="1" applyAlignment="1">
      <alignment horizontal="center" vertical="center" wrapText="1"/>
    </xf>
    <xf numFmtId="49" fontId="5" fillId="0" borderId="14" xfId="10" applyNumberFormat="1" applyFont="1" applyBorder="1" applyAlignment="1">
      <alignment horizontal="center" vertical="center" wrapText="1"/>
    </xf>
    <xf numFmtId="49" fontId="5" fillId="0" borderId="23" xfId="10" applyNumberFormat="1" applyFont="1" applyBorder="1" applyAlignment="1">
      <alignment horizontal="center" vertical="center" wrapText="1"/>
    </xf>
    <xf numFmtId="0" fontId="3" fillId="6" borderId="0" xfId="10" applyFont="1" applyFill="1" applyAlignment="1">
      <alignment horizontal="center" vertical="center" wrapText="1"/>
    </xf>
    <xf numFmtId="0" fontId="5" fillId="6" borderId="53" xfId="11" applyFont="1" applyFill="1" applyBorder="1" applyAlignment="1">
      <alignment horizontal="left" vertical="center" wrapText="1"/>
    </xf>
    <xf numFmtId="0" fontId="5" fillId="6" borderId="54" xfId="11" applyFont="1" applyFill="1" applyBorder="1" applyAlignment="1">
      <alignment horizontal="left" vertical="center" wrapText="1"/>
    </xf>
    <xf numFmtId="0" fontId="5" fillId="6" borderId="16" xfId="11" applyFont="1" applyFill="1" applyBorder="1" applyAlignment="1">
      <alignment horizontal="left" vertical="center" wrapText="1"/>
    </xf>
    <xf numFmtId="0" fontId="14" fillId="6" borderId="1" xfId="10" applyFont="1" applyFill="1" applyBorder="1" applyAlignment="1">
      <alignment horizontal="center" vertical="center"/>
    </xf>
    <xf numFmtId="0" fontId="14" fillId="6" borderId="2" xfId="10" applyFont="1" applyFill="1" applyBorder="1" applyAlignment="1">
      <alignment horizontal="center" vertical="center"/>
    </xf>
    <xf numFmtId="0" fontId="14" fillId="6" borderId="5" xfId="10" applyFont="1" applyFill="1" applyBorder="1" applyAlignment="1">
      <alignment horizontal="center" vertical="center"/>
    </xf>
    <xf numFmtId="0" fontId="14" fillId="6" borderId="52" xfId="10" applyFont="1" applyFill="1" applyBorder="1" applyAlignment="1">
      <alignment horizontal="center" vertical="center"/>
    </xf>
    <xf numFmtId="0" fontId="5" fillId="6" borderId="7" xfId="10" applyFont="1" applyFill="1" applyBorder="1" applyAlignment="1">
      <alignment horizontal="left" vertical="center" wrapText="1"/>
    </xf>
    <xf numFmtId="0" fontId="5" fillId="6" borderId="8" xfId="10" applyFont="1" applyFill="1" applyBorder="1" applyAlignment="1">
      <alignment horizontal="left" vertical="center" wrapText="1"/>
    </xf>
    <xf numFmtId="0" fontId="5" fillId="6" borderId="9" xfId="10" applyFont="1" applyFill="1" applyBorder="1" applyAlignment="1">
      <alignment horizontal="left" vertical="center" wrapText="1"/>
    </xf>
    <xf numFmtId="0" fontId="5" fillId="6" borderId="13" xfId="11" applyFont="1" applyFill="1" applyBorder="1" applyAlignment="1">
      <alignment horizontal="left" vertical="center" wrapText="1"/>
    </xf>
    <xf numFmtId="0" fontId="5" fillId="6" borderId="10" xfId="11" applyFont="1" applyFill="1" applyBorder="1" applyAlignment="1">
      <alignment horizontal="left" vertical="center" wrapText="1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 vertical="center"/>
    </xf>
    <xf numFmtId="0" fontId="0" fillId="10" borderId="107" xfId="0" applyFill="1" applyBorder="1" applyAlignment="1">
      <alignment horizontal="center" vertical="center"/>
    </xf>
    <xf numFmtId="0" fontId="0" fillId="10" borderId="106" xfId="0" applyFill="1" applyBorder="1" applyAlignment="1">
      <alignment horizontal="center" vertical="center"/>
    </xf>
    <xf numFmtId="0" fontId="0" fillId="10" borderId="108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39" xfId="0" applyFill="1" applyBorder="1" applyAlignment="1">
      <alignment horizontal="center" vertical="center" wrapText="1"/>
    </xf>
    <xf numFmtId="0" fontId="12" fillId="10" borderId="49" xfId="0" applyFont="1" applyFill="1" applyBorder="1" applyAlignment="1">
      <alignment horizontal="center" vertical="center" wrapText="1"/>
    </xf>
    <xf numFmtId="0" fontId="12" fillId="10" borderId="5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/>
    </xf>
    <xf numFmtId="0" fontId="12" fillId="11" borderId="4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12" fillId="12" borderId="4" xfId="0" applyFont="1" applyFill="1" applyBorder="1" applyAlignment="1">
      <alignment horizontal="center"/>
    </xf>
    <xf numFmtId="0" fontId="0" fillId="10" borderId="8" xfId="0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/>
    </xf>
    <xf numFmtId="0" fontId="12" fillId="13" borderId="4" xfId="0" applyFont="1" applyFill="1" applyBorder="1" applyAlignment="1">
      <alignment horizontal="center"/>
    </xf>
    <xf numFmtId="0" fontId="0" fillId="10" borderId="39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/>
    </xf>
    <xf numFmtId="0" fontId="12" fillId="14" borderId="4" xfId="0" applyFont="1" applyFill="1" applyBorder="1" applyAlignment="1">
      <alignment horizontal="center"/>
    </xf>
    <xf numFmtId="0" fontId="0" fillId="10" borderId="15" xfId="0" applyFill="1" applyBorder="1" applyAlignment="1">
      <alignment horizontal="center" vertical="center"/>
    </xf>
    <xf numFmtId="0" fontId="7" fillId="0" borderId="42" xfId="8" applyFont="1" applyBorder="1" applyAlignment="1">
      <alignment horizontal="center" vertical="center"/>
    </xf>
    <xf numFmtId="0" fontId="7" fillId="0" borderId="77" xfId="8" applyFont="1" applyBorder="1" applyAlignment="1">
      <alignment horizontal="center" vertical="center"/>
    </xf>
    <xf numFmtId="0" fontId="7" fillId="0" borderId="5" xfId="8" applyFont="1" applyBorder="1" applyAlignment="1">
      <alignment horizontal="center" vertical="center" wrapText="1"/>
    </xf>
    <xf numFmtId="0" fontId="7" fillId="0" borderId="27" xfId="8" applyFont="1" applyBorder="1" applyAlignment="1">
      <alignment horizontal="center" vertical="center" wrapText="1"/>
    </xf>
    <xf numFmtId="0" fontId="7" fillId="0" borderId="58" xfId="8" applyFont="1" applyBorder="1" applyAlignment="1">
      <alignment horizontal="center" vertical="center"/>
    </xf>
    <xf numFmtId="0" fontId="7" fillId="0" borderId="65" xfId="8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0" fontId="7" fillId="0" borderId="45" xfId="8" applyFont="1" applyBorder="1" applyAlignment="1">
      <alignment horizontal="center" vertical="center"/>
    </xf>
    <xf numFmtId="0" fontId="8" fillId="0" borderId="36" xfId="8" applyFont="1" applyBorder="1" applyAlignment="1">
      <alignment horizontal="center" vertical="center"/>
    </xf>
    <xf numFmtId="0" fontId="8" fillId="0" borderId="29" xfId="8" applyFont="1" applyBorder="1" applyAlignment="1">
      <alignment horizontal="center" vertical="center"/>
    </xf>
    <xf numFmtId="0" fontId="7" fillId="0" borderId="6" xfId="8" applyFont="1" applyBorder="1" applyAlignment="1">
      <alignment horizontal="center" vertical="center"/>
    </xf>
    <xf numFmtId="0" fontId="7" fillId="0" borderId="28" xfId="8" applyFont="1" applyBorder="1" applyAlignment="1">
      <alignment horizontal="center" vertical="center"/>
    </xf>
    <xf numFmtId="0" fontId="7" fillId="0" borderId="31" xfId="8" applyFont="1" applyBorder="1" applyAlignment="1">
      <alignment horizontal="center" vertical="center"/>
    </xf>
    <xf numFmtId="0" fontId="7" fillId="0" borderId="5" xfId="8" applyFont="1" applyBorder="1" applyAlignment="1">
      <alignment horizontal="center" vertical="center"/>
    </xf>
    <xf numFmtId="0" fontId="7" fillId="0" borderId="27" xfId="8" applyFont="1" applyBorder="1" applyAlignment="1">
      <alignment horizontal="center" vertical="center"/>
    </xf>
    <xf numFmtId="0" fontId="7" fillId="0" borderId="38" xfId="8" applyFont="1" applyBorder="1" applyAlignment="1">
      <alignment horizontal="center" vertical="center"/>
    </xf>
    <xf numFmtId="0" fontId="7" fillId="0" borderId="49" xfId="8" applyFont="1" applyBorder="1" applyAlignment="1">
      <alignment horizontal="center" vertical="center"/>
    </xf>
    <xf numFmtId="0" fontId="7" fillId="0" borderId="78" xfId="8" applyFont="1" applyBorder="1" applyAlignment="1">
      <alignment horizontal="center" vertical="center"/>
    </xf>
    <xf numFmtId="0" fontId="7" fillId="0" borderId="109" xfId="8" applyFont="1" applyBorder="1" applyAlignment="1">
      <alignment horizontal="center" vertical="center"/>
    </xf>
    <xf numFmtId="0" fontId="8" fillId="0" borderId="27" xfId="8" applyFont="1" applyBorder="1" applyAlignment="1">
      <alignment horizontal="center" vertical="center" wrapText="1"/>
    </xf>
    <xf numFmtId="0" fontId="8" fillId="0" borderId="34" xfId="8" applyFont="1" applyBorder="1" applyAlignment="1">
      <alignment horizontal="center" vertical="center" wrapText="1"/>
    </xf>
    <xf numFmtId="0" fontId="8" fillId="0" borderId="30" xfId="8" applyFont="1" applyBorder="1" applyAlignment="1">
      <alignment horizontal="center" vertical="center" wrapText="1"/>
    </xf>
    <xf numFmtId="0" fontId="8" fillId="0" borderId="34" xfId="8" applyFont="1" applyBorder="1" applyAlignment="1">
      <alignment horizontal="center" vertical="center"/>
    </xf>
    <xf numFmtId="0" fontId="8" fillId="0" borderId="30" xfId="8" applyFont="1" applyBorder="1" applyAlignment="1">
      <alignment horizontal="center" vertical="center"/>
    </xf>
    <xf numFmtId="0" fontId="5" fillId="0" borderId="9" xfId="8" applyFont="1" applyBorder="1" applyAlignment="1">
      <alignment horizontal="center" wrapText="1"/>
    </xf>
    <xf numFmtId="0" fontId="5" fillId="0" borderId="10" xfId="8" applyFont="1" applyBorder="1" applyAlignment="1">
      <alignment horizontal="center" wrapText="1"/>
    </xf>
    <xf numFmtId="0" fontId="5" fillId="0" borderId="11" xfId="8" applyFont="1" applyBorder="1" applyAlignment="1">
      <alignment horizontal="center" wrapText="1"/>
    </xf>
    <xf numFmtId="0" fontId="7" fillId="0" borderId="13" xfId="8" applyFont="1" applyBorder="1" applyAlignment="1">
      <alignment horizontal="center" wrapText="1"/>
    </xf>
    <xf numFmtId="0" fontId="7" fillId="0" borderId="15" xfId="8" applyFont="1" applyBorder="1" applyAlignment="1">
      <alignment horizontal="center" wrapText="1"/>
    </xf>
    <xf numFmtId="0" fontId="8" fillId="0" borderId="37" xfId="8" applyFont="1" applyBorder="1" applyAlignment="1">
      <alignment horizontal="center" vertical="center"/>
    </xf>
    <xf numFmtId="0" fontId="8" fillId="0" borderId="31" xfId="8" applyFont="1" applyBorder="1" applyAlignment="1">
      <alignment horizontal="center" vertical="center"/>
    </xf>
    <xf numFmtId="0" fontId="8" fillId="0" borderId="33" xfId="8" applyFont="1" applyBorder="1" applyAlignment="1">
      <alignment horizontal="center" vertical="center"/>
    </xf>
    <xf numFmtId="0" fontId="8" fillId="0" borderId="38" xfId="8" applyFont="1" applyBorder="1" applyAlignment="1">
      <alignment horizontal="center" vertical="center"/>
    </xf>
    <xf numFmtId="0" fontId="8" fillId="0" borderId="35" xfId="8" applyFont="1" applyBorder="1" applyAlignment="1">
      <alignment horizontal="center" vertical="center"/>
    </xf>
    <xf numFmtId="0" fontId="8" fillId="0" borderId="32" xfId="8" applyFont="1" applyBorder="1" applyAlignment="1">
      <alignment horizontal="center" vertical="center"/>
    </xf>
    <xf numFmtId="0" fontId="7" fillId="0" borderId="7" xfId="8" applyFont="1" applyBorder="1" applyAlignment="1">
      <alignment horizontal="center" wrapText="1"/>
    </xf>
    <xf numFmtId="0" fontId="7" fillId="0" borderId="8" xfId="8" applyFont="1" applyBorder="1" applyAlignment="1">
      <alignment horizontal="center" wrapText="1"/>
    </xf>
    <xf numFmtId="0" fontId="8" fillId="0" borderId="63" xfId="8" applyFont="1" applyBorder="1" applyAlignment="1">
      <alignment horizontal="center" vertical="center" wrapText="1"/>
    </xf>
    <xf numFmtId="0" fontId="8" fillId="0" borderId="32" xfId="8" applyFont="1" applyBorder="1" applyAlignment="1">
      <alignment horizontal="center" vertical="center" wrapText="1"/>
    </xf>
    <xf numFmtId="0" fontId="8" fillId="0" borderId="118" xfId="8" applyFont="1" applyBorder="1" applyAlignment="1">
      <alignment horizontal="center" vertical="center"/>
    </xf>
    <xf numFmtId="0" fontId="8" fillId="0" borderId="51" xfId="8" applyFont="1" applyBorder="1" applyAlignment="1">
      <alignment horizontal="center" vertical="center"/>
    </xf>
    <xf numFmtId="0" fontId="3" fillId="0" borderId="0" xfId="5" applyFont="1" applyAlignment="1">
      <alignment horizontal="left" vertical="center"/>
    </xf>
    <xf numFmtId="0" fontId="5" fillId="0" borderId="56" xfId="12" applyFont="1" applyBorder="1" applyAlignment="1">
      <alignment horizontal="center" vertical="center"/>
    </xf>
    <xf numFmtId="0" fontId="5" fillId="0" borderId="71" xfId="12" applyFont="1" applyBorder="1" applyAlignment="1">
      <alignment horizontal="center" vertical="center"/>
    </xf>
    <xf numFmtId="0" fontId="44" fillId="0" borderId="6" xfId="12" applyFont="1" applyBorder="1" applyAlignment="1">
      <alignment horizontal="center" vertical="center"/>
    </xf>
    <xf numFmtId="0" fontId="44" fillId="0" borderId="31" xfId="12" applyFont="1" applyBorder="1" applyAlignment="1">
      <alignment horizontal="center" vertical="center"/>
    </xf>
    <xf numFmtId="0" fontId="38" fillId="0" borderId="15" xfId="5" applyFont="1" applyBorder="1" applyAlignment="1">
      <alignment horizontal="center" vertical="center" wrapText="1"/>
    </xf>
    <xf numFmtId="0" fontId="38" fillId="0" borderId="26" xfId="5" applyFont="1" applyBorder="1" applyAlignment="1">
      <alignment horizontal="center" vertical="center" wrapText="1"/>
    </xf>
    <xf numFmtId="0" fontId="44" fillId="0" borderId="71" xfId="5" applyFont="1" applyBorder="1" applyAlignment="1">
      <alignment horizontal="center" vertical="center"/>
    </xf>
    <xf numFmtId="0" fontId="44" fillId="0" borderId="29" xfId="5" applyFont="1" applyBorder="1" applyAlignment="1">
      <alignment horizontal="center" vertical="center"/>
    </xf>
    <xf numFmtId="0" fontId="38" fillId="0" borderId="21" xfId="5" applyFont="1" applyBorder="1" applyAlignment="1">
      <alignment horizontal="left" indent="1"/>
    </xf>
    <xf numFmtId="0" fontId="38" fillId="0" borderId="54" xfId="5" applyFont="1" applyBorder="1" applyAlignment="1">
      <alignment horizontal="left" indent="1"/>
    </xf>
    <xf numFmtId="0" fontId="38" fillId="0" borderId="16" xfId="5" applyFont="1" applyBorder="1" applyAlignment="1">
      <alignment horizontal="left" indent="1"/>
    </xf>
    <xf numFmtId="0" fontId="38" fillId="0" borderId="35" xfId="5" applyFont="1" applyBorder="1" applyAlignment="1">
      <alignment horizontal="left" indent="1"/>
    </xf>
    <xf numFmtId="0" fontId="38" fillId="0" borderId="81" xfId="5" applyFont="1" applyBorder="1" applyAlignment="1">
      <alignment horizontal="left" indent="1"/>
    </xf>
    <xf numFmtId="0" fontId="38" fillId="0" borderId="36" xfId="5" applyFont="1" applyBorder="1" applyAlignment="1">
      <alignment horizontal="left" indent="1"/>
    </xf>
    <xf numFmtId="0" fontId="38" fillId="0" borderId="13" xfId="5" applyFont="1" applyBorder="1" applyAlignment="1">
      <alignment horizontal="center" vertical="center" wrapText="1"/>
    </xf>
    <xf numFmtId="0" fontId="38" fillId="0" borderId="22" xfId="5" applyFont="1" applyBorder="1" applyAlignment="1">
      <alignment horizontal="center" vertical="center" wrapText="1"/>
    </xf>
    <xf numFmtId="0" fontId="38" fillId="0" borderId="10" xfId="5" applyFont="1" applyBorder="1" applyAlignment="1">
      <alignment horizontal="center" vertical="center" wrapText="1"/>
    </xf>
    <xf numFmtId="0" fontId="38" fillId="0" borderId="23" xfId="5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46" fillId="0" borderId="0" xfId="5" applyFont="1" applyAlignment="1">
      <alignment horizontal="left" vertical="center" wrapText="1"/>
    </xf>
    <xf numFmtId="0" fontId="12" fillId="0" borderId="42" xfId="0" applyFont="1" applyBorder="1" applyAlignment="1">
      <alignment horizontal="center"/>
    </xf>
    <xf numFmtId="0" fontId="12" fillId="0" borderId="77" xfId="0" applyFont="1" applyBorder="1" applyAlignment="1">
      <alignment horizontal="center"/>
    </xf>
    <xf numFmtId="0" fontId="7" fillId="0" borderId="42" xfId="5" applyFont="1" applyBorder="1" applyAlignment="1">
      <alignment horizontal="center" vertical="center"/>
    </xf>
    <xf numFmtId="0" fontId="7" fillId="0" borderId="45" xfId="5" applyFont="1" applyBorder="1" applyAlignment="1">
      <alignment horizontal="center" vertical="center"/>
    </xf>
    <xf numFmtId="0" fontId="47" fillId="0" borderId="0" xfId="5" applyFont="1" applyAlignment="1">
      <alignment horizontal="left" vertical="center" wrapText="1"/>
    </xf>
    <xf numFmtId="0" fontId="7" fillId="0" borderId="13" xfId="5" applyFont="1" applyBorder="1" applyAlignment="1">
      <alignment horizontal="center" vertical="center" wrapText="1"/>
    </xf>
    <xf numFmtId="0" fontId="7" fillId="0" borderId="22" xfId="5" applyFont="1" applyBorder="1" applyAlignment="1">
      <alignment horizontal="center" vertical="center" wrapText="1"/>
    </xf>
    <xf numFmtId="0" fontId="7" fillId="0" borderId="15" xfId="5" applyFont="1" applyBorder="1" applyAlignment="1">
      <alignment horizontal="center" vertical="center" wrapText="1"/>
    </xf>
    <xf numFmtId="0" fontId="7" fillId="0" borderId="26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11" xfId="5" applyFont="1" applyBorder="1" applyAlignment="1">
      <alignment horizontal="center" vertical="center" wrapText="1"/>
    </xf>
    <xf numFmtId="0" fontId="7" fillId="0" borderId="49" xfId="5" applyFont="1" applyBorder="1" applyAlignment="1">
      <alignment horizontal="center" vertical="center" wrapText="1"/>
    </xf>
    <xf numFmtId="0" fontId="7" fillId="0" borderId="51" xfId="5" applyFont="1" applyBorder="1" applyAlignment="1">
      <alignment horizontal="center" vertical="center" wrapText="1"/>
    </xf>
    <xf numFmtId="0" fontId="7" fillId="0" borderId="38" xfId="8" applyFont="1" applyBorder="1" applyAlignment="1">
      <alignment horizontal="center" vertical="center" wrapText="1"/>
    </xf>
    <xf numFmtId="0" fontId="7" fillId="0" borderId="6" xfId="8" applyFont="1" applyBorder="1" applyAlignment="1">
      <alignment horizontal="center" vertical="center" wrapText="1"/>
    </xf>
    <xf numFmtId="0" fontId="7" fillId="0" borderId="31" xfId="8" applyFont="1" applyBorder="1" applyAlignment="1">
      <alignment horizontal="center" vertical="center" wrapText="1"/>
    </xf>
    <xf numFmtId="0" fontId="7" fillId="0" borderId="7" xfId="8" applyFont="1" applyBorder="1" applyAlignment="1">
      <alignment horizontal="center" vertical="center" wrapText="1"/>
    </xf>
    <xf numFmtId="0" fontId="7" fillId="0" borderId="8" xfId="8" applyFont="1" applyBorder="1" applyAlignment="1">
      <alignment horizontal="center" vertical="center" wrapText="1"/>
    </xf>
    <xf numFmtId="0" fontId="7" fillId="0" borderId="49" xfId="8" applyFont="1" applyBorder="1" applyAlignment="1">
      <alignment horizontal="center" vertical="center" wrapText="1"/>
    </xf>
    <xf numFmtId="0" fontId="7" fillId="0" borderId="51" xfId="8" applyFont="1" applyBorder="1" applyAlignment="1">
      <alignment horizontal="center" vertical="center" wrapText="1"/>
    </xf>
  </cellXfs>
  <cellStyles count="15">
    <cellStyle name="Čárka 2" xfId="13" xr:uid="{00000000-0005-0000-0000-00003B000000}"/>
    <cellStyle name="Čárka 3" xfId="14" xr:uid="{7E2186CD-EDCE-402C-B187-AC2C8FAC6CFA}"/>
    <cellStyle name="Hypertextový odkaz" xfId="9" builtinId="8"/>
    <cellStyle name="Nadpis - excel" xfId="2" xr:uid="{00000000-0005-0000-0000-000001000000}"/>
    <cellStyle name="Normální" xfId="0" builtinId="0"/>
    <cellStyle name="Normální 10" xfId="3" xr:uid="{00000000-0005-0000-0000-000003000000}"/>
    <cellStyle name="Normální 11 2" xfId="8" xr:uid="{00000000-0005-0000-0000-000004000000}"/>
    <cellStyle name="normální 14 2 2" xfId="5" xr:uid="{00000000-0005-0000-0000-000005000000}"/>
    <cellStyle name="Normální 2" xfId="4" xr:uid="{00000000-0005-0000-0000-000006000000}"/>
    <cellStyle name="normální 2 5" xfId="6" xr:uid="{00000000-0005-0000-0000-000007000000}"/>
    <cellStyle name="normální_Tab.1-bilance PV" xfId="11" xr:uid="{00000000-0005-0000-0000-000008000000}"/>
    <cellStyle name="normální_Tabulka 1-Bilanční-návrh 13.1.04" xfId="10" xr:uid="{00000000-0005-0000-0000-000009000000}"/>
    <cellStyle name="normální_Ubyt a strav 2002" xfId="12" xr:uid="{00000000-0005-0000-0000-00000A000000}"/>
    <cellStyle name="Procenta" xfId="1" builtinId="5"/>
    <cellStyle name="Procenta 3 2" xfId="7" xr:uid="{00000000-0005-0000-0000-00000C000000}"/>
  </cellStyles>
  <dxfs count="0"/>
  <tableStyles count="0" defaultTableStyle="TableStyleMedium2" defaultPivotStyle="PivotStyleLight16"/>
  <colors>
    <mruColors>
      <color rgb="FF9BC2E6"/>
      <color rgb="FFF4B084"/>
      <color rgb="FFFFD966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22412</xdr:colOff>
      <xdr:row>24</xdr:row>
      <xdr:rowOff>123265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8FBE59A-1B17-4AE4-BDF4-DC5D419B2103}"/>
            </a:ext>
          </a:extLst>
        </xdr:cNvPr>
        <xdr:cNvSpPr txBox="1"/>
      </xdr:nvSpPr>
      <xdr:spPr>
        <a:xfrm>
          <a:off x="5692588" y="4661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9525" cy="316624"/>
    <xdr:pic>
      <xdr:nvPicPr>
        <xdr:cNvPr id="2" name="Picture 1" descr="https://sims.ics.muni.cz/sims_is/img/bod.gif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316624"/>
    <xdr:pic>
      <xdr:nvPicPr>
        <xdr:cNvPr id="3" name="Picture 2" descr="https://sims.ics.muni.cz/sims_is/img/bod.gif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E24"/>
  <sheetViews>
    <sheetView zoomScale="85" zoomScaleNormal="85" workbookViewId="0">
      <selection activeCell="B3" sqref="B3"/>
    </sheetView>
  </sheetViews>
  <sheetFormatPr defaultRowHeight="15" x14ac:dyDescent="0.25"/>
  <cols>
    <col min="1" max="1" width="6.28515625" customWidth="1"/>
    <col min="2" max="2" width="69.7109375" customWidth="1"/>
  </cols>
  <sheetData>
    <row r="3" spans="1:5" ht="27.75" x14ac:dyDescent="0.4">
      <c r="B3" s="788"/>
    </row>
    <row r="4" spans="1:5" ht="27.75" x14ac:dyDescent="0.4">
      <c r="A4" s="477" t="s">
        <v>233</v>
      </c>
      <c r="B4" s="478"/>
      <c r="C4" s="478"/>
      <c r="D4" s="478"/>
      <c r="E4" s="478"/>
    </row>
    <row r="6" spans="1:5" x14ac:dyDescent="0.25">
      <c r="A6" s="479" t="s">
        <v>151</v>
      </c>
    </row>
    <row r="7" spans="1:5" x14ac:dyDescent="0.25">
      <c r="A7" s="480"/>
    </row>
    <row r="8" spans="1:5" x14ac:dyDescent="0.25">
      <c r="A8" s="481">
        <v>1</v>
      </c>
      <c r="B8" s="545" t="s">
        <v>235</v>
      </c>
      <c r="C8" s="486"/>
    </row>
    <row r="9" spans="1:5" x14ac:dyDescent="0.25">
      <c r="A9" s="481" t="s">
        <v>158</v>
      </c>
      <c r="B9" s="545" t="s">
        <v>153</v>
      </c>
      <c r="C9" s="485"/>
    </row>
    <row r="10" spans="1:5" x14ac:dyDescent="0.25">
      <c r="A10" s="481" t="s">
        <v>159</v>
      </c>
      <c r="B10" s="545" t="s">
        <v>154</v>
      </c>
      <c r="C10" s="485"/>
    </row>
    <row r="11" spans="1:5" x14ac:dyDescent="0.25">
      <c r="A11" s="481" t="s">
        <v>160</v>
      </c>
      <c r="B11" s="545" t="s">
        <v>155</v>
      </c>
      <c r="C11" s="485"/>
    </row>
    <row r="12" spans="1:5" x14ac:dyDescent="0.25">
      <c r="A12" s="481" t="s">
        <v>161</v>
      </c>
      <c r="B12" s="545" t="s">
        <v>156</v>
      </c>
      <c r="C12" s="482"/>
    </row>
    <row r="13" spans="1:5" x14ac:dyDescent="0.25">
      <c r="A13" s="481" t="s">
        <v>162</v>
      </c>
      <c r="B13" s="546" t="s">
        <v>165</v>
      </c>
      <c r="C13" s="482"/>
    </row>
    <row r="14" spans="1:5" x14ac:dyDescent="0.25">
      <c r="A14" s="481" t="s">
        <v>163</v>
      </c>
      <c r="B14" s="546" t="s">
        <v>234</v>
      </c>
      <c r="C14" s="482"/>
    </row>
    <row r="15" spans="1:5" x14ac:dyDescent="0.25">
      <c r="A15" s="481">
        <v>4</v>
      </c>
      <c r="B15" s="546" t="s">
        <v>164</v>
      </c>
      <c r="C15" s="482"/>
    </row>
    <row r="16" spans="1:5" x14ac:dyDescent="0.25">
      <c r="A16" s="483">
        <v>5</v>
      </c>
      <c r="B16" s="546" t="s">
        <v>88</v>
      </c>
      <c r="C16" s="485"/>
    </row>
    <row r="17" spans="1:3" x14ac:dyDescent="0.25">
      <c r="A17" s="483">
        <v>6</v>
      </c>
      <c r="B17" s="546" t="s">
        <v>114</v>
      </c>
      <c r="C17" s="485"/>
    </row>
    <row r="18" spans="1:3" x14ac:dyDescent="0.25">
      <c r="A18" s="481">
        <v>7</v>
      </c>
      <c r="B18" s="546" t="s">
        <v>90</v>
      </c>
      <c r="C18" s="485"/>
    </row>
    <row r="19" spans="1:3" x14ac:dyDescent="0.25">
      <c r="A19" s="481">
        <v>8</v>
      </c>
      <c r="B19" s="545" t="s">
        <v>147</v>
      </c>
      <c r="C19" s="485"/>
    </row>
    <row r="20" spans="1:3" x14ac:dyDescent="0.25">
      <c r="A20" s="481">
        <v>9</v>
      </c>
      <c r="B20" s="545" t="s">
        <v>150</v>
      </c>
      <c r="C20" s="484"/>
    </row>
    <row r="21" spans="1:3" x14ac:dyDescent="0.25">
      <c r="A21" s="481" t="s">
        <v>166</v>
      </c>
      <c r="B21" s="545" t="s">
        <v>152</v>
      </c>
      <c r="C21" s="484"/>
    </row>
    <row r="22" spans="1:3" x14ac:dyDescent="0.25">
      <c r="A22" s="481" t="s">
        <v>167</v>
      </c>
      <c r="B22" s="545" t="s">
        <v>157</v>
      </c>
      <c r="C22" s="484"/>
    </row>
    <row r="23" spans="1:3" x14ac:dyDescent="0.25">
      <c r="A23" s="481"/>
      <c r="B23" s="482"/>
      <c r="C23" s="484"/>
    </row>
    <row r="24" spans="1:3" x14ac:dyDescent="0.25">
      <c r="A24" s="481"/>
      <c r="B24" s="482"/>
      <c r="C24" s="482"/>
    </row>
  </sheetData>
  <hyperlinks>
    <hyperlink ref="B8" location="'1 Bilance'!A1" display="Bilance zdrojů pro rozdělení příspěvku a dotací vysokým školám v roce 2021" xr:uid="{3BBAFBB5-07DC-4DD7-85C5-D55300EA62F4}"/>
    <hyperlink ref="B9" location="'2a Výkonová část segment 1'!A1" display="Výkonová část - segment 1" xr:uid="{42330568-A9FA-4D23-93AE-FF47AFDDCB1A}"/>
    <hyperlink ref="B10" location="'2b Výkonová část segment 2'!A1" display="Výkonová část - segment 2" xr:uid="{2FFC135B-878F-483F-BB19-5CCE9345D8F7}"/>
    <hyperlink ref="B11" location="'2c Výkonová část segment 3'!A1" display="Výkonová část - segment 3" xr:uid="{45B03F80-3B4D-4C12-B6BC-0A2F4C0EB18F}"/>
    <hyperlink ref="B12" location="'2d Výkonová část segment 4'!A1" display="Výkonová část - segment 4" xr:uid="{9B689671-7A30-4BB4-A05D-3BBFC7A32D19}"/>
    <hyperlink ref="B13" location="'3a Ukazatel P - lékařské fakult'!A1" display="Ukazatel P - Lékařské fakulty" xr:uid="{558D2358-A000-4AAE-934E-20B38AE4AE5E}"/>
    <hyperlink ref="B14" location="'3b Ukazatel P - VETUNI'!A1" display="Ukazatel P - VETUNI" xr:uid="{22506269-CEE3-4D76-9AA1-518C5854D7B4}"/>
    <hyperlink ref="B15" location="'4 RO I'!A1" display="Rozpočtový okruh I" xr:uid="{9714560D-C0C3-4213-8974-13DA47F6B714}"/>
    <hyperlink ref="B16" location="'5 Ukazatel C'!A1" display="Ukazatel C" xr:uid="{CBEA28DB-F5A1-466D-B683-079FF0974A8F}"/>
    <hyperlink ref="B17" location="'6 Ukazatel J'!A1" display="Ukazatel J" xr:uid="{088DED6F-9C35-4075-9BB0-5C2A6C4F2647}"/>
    <hyperlink ref="B18" location="'7 Ukazatel U'!A1" display="Ukazatel U" xr:uid="{3BDF37AA-13B1-4868-8127-3FFDB292E42F}"/>
    <hyperlink ref="B19" location="'8 Ukazatel I'!A1" display="Ukazatel I" xr:uid="{5C5FE5E6-1CD8-4D42-A717-7212CD38847E}"/>
    <hyperlink ref="B20" location="'9 Fond umělecké činnosti'!A1" display="Fond umělecké činnosti" xr:uid="{7BE4E29E-7127-47C7-AC07-99788BAC4C3D}"/>
    <hyperlink ref="B21" location="'10a Ukazatel F - U3V'!A1" display="Ukazatel F - U3V" xr:uid="{D0991906-6674-47B5-85BF-A5450A5EBE12}"/>
    <hyperlink ref="B22" location="'10b Ukazatel F - SSP'!A1" display="Ukazatel F - SSP " xr:uid="{8D1AB21D-2B79-4896-AA86-ACB590E4B405}"/>
  </hyperlinks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 xml:space="preserve">&amp;LČ. j.: 842/2025-1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E38"/>
  <sheetViews>
    <sheetView zoomScale="85" zoomScaleNormal="85" workbookViewId="0">
      <selection activeCell="B5" sqref="B5"/>
    </sheetView>
  </sheetViews>
  <sheetFormatPr defaultRowHeight="15" x14ac:dyDescent="0.25"/>
  <cols>
    <col min="1" max="1" width="11.5703125" customWidth="1"/>
    <col min="2" max="2" width="74.85546875" bestFit="1" customWidth="1"/>
    <col min="3" max="4" width="20.7109375" customWidth="1"/>
    <col min="5" max="5" width="28" customWidth="1"/>
    <col min="8" max="8" width="17" customWidth="1"/>
    <col min="9" max="9" width="34" customWidth="1"/>
  </cols>
  <sheetData>
    <row r="1" spans="1:5" ht="27.75" x14ac:dyDescent="0.25">
      <c r="A1" s="951" t="s">
        <v>88</v>
      </c>
      <c r="B1" s="951"/>
      <c r="C1" s="951"/>
      <c r="D1" s="951"/>
    </row>
    <row r="2" spans="1:5" ht="19.5" x14ac:dyDescent="0.25">
      <c r="A2" s="244"/>
      <c r="B2" s="244"/>
      <c r="C2" s="244"/>
      <c r="D2" s="244"/>
    </row>
    <row r="3" spans="1:5" ht="20.25" x14ac:dyDescent="0.25">
      <c r="A3" s="245" t="s">
        <v>251</v>
      </c>
      <c r="B3" s="244"/>
      <c r="C3" s="244"/>
      <c r="D3" s="244"/>
    </row>
    <row r="4" spans="1:5" ht="26.25" x14ac:dyDescent="0.25">
      <c r="A4" s="246"/>
      <c r="B4" s="246"/>
      <c r="C4" s="246"/>
      <c r="D4" s="246"/>
    </row>
    <row r="5" spans="1:5" x14ac:dyDescent="0.25">
      <c r="A5" s="247"/>
      <c r="B5" s="711" t="s">
        <v>274</v>
      </c>
      <c r="C5" s="720">
        <f>'1 Bilance'!O23</f>
        <v>1913746500</v>
      </c>
      <c r="D5" t="s">
        <v>33</v>
      </c>
    </row>
    <row r="6" spans="1:5" x14ac:dyDescent="0.25">
      <c r="A6" s="247"/>
      <c r="B6" s="248"/>
      <c r="C6" s="249"/>
      <c r="D6" s="249"/>
    </row>
    <row r="7" spans="1:5" ht="15.75" thickBot="1" x14ac:dyDescent="0.3">
      <c r="A7" s="250"/>
      <c r="B7" s="250"/>
      <c r="C7" s="250"/>
      <c r="D7" s="251" t="s">
        <v>0</v>
      </c>
    </row>
    <row r="8" spans="1:5" ht="30.75" thickBot="1" x14ac:dyDescent="0.3">
      <c r="A8" s="252" t="s">
        <v>2</v>
      </c>
      <c r="B8" s="253" t="s">
        <v>3</v>
      </c>
      <c r="C8" s="254" t="s">
        <v>29</v>
      </c>
      <c r="D8" s="255" t="s">
        <v>89</v>
      </c>
    </row>
    <row r="9" spans="1:5" x14ac:dyDescent="0.25">
      <c r="A9" s="256">
        <v>11000</v>
      </c>
      <c r="B9" s="257" t="s">
        <v>4</v>
      </c>
      <c r="C9" s="717">
        <v>0.29198671957152955</v>
      </c>
      <c r="D9" s="258">
        <f>ROUND(C9*$C$5,0)</f>
        <v>558788563</v>
      </c>
      <c r="E9" s="793"/>
    </row>
    <row r="10" spans="1:5" x14ac:dyDescent="0.25">
      <c r="A10" s="256">
        <v>12000</v>
      </c>
      <c r="B10" s="257" t="s">
        <v>5</v>
      </c>
      <c r="C10" s="717">
        <v>3.2247954727080537E-2</v>
      </c>
      <c r="D10" s="259">
        <f t="shared" ref="D10:D34" si="0">ROUND(C10*$C$5,0)</f>
        <v>61714410</v>
      </c>
      <c r="E10" s="793"/>
    </row>
    <row r="11" spans="1:5" x14ac:dyDescent="0.25">
      <c r="A11" s="256">
        <v>13000</v>
      </c>
      <c r="B11" s="257" t="s">
        <v>6</v>
      </c>
      <c r="C11" s="717">
        <v>1.0801462437581942E-2</v>
      </c>
      <c r="D11" s="259">
        <f t="shared" si="0"/>
        <v>20671261</v>
      </c>
      <c r="E11" s="793"/>
    </row>
    <row r="12" spans="1:5" x14ac:dyDescent="0.25">
      <c r="A12" s="256">
        <v>14000</v>
      </c>
      <c r="B12" s="257" t="s">
        <v>7</v>
      </c>
      <c r="C12" s="717">
        <v>0.14434744952371859</v>
      </c>
      <c r="D12" s="259">
        <f t="shared" si="0"/>
        <v>276244426</v>
      </c>
      <c r="E12" s="793"/>
    </row>
    <row r="13" spans="1:5" x14ac:dyDescent="0.25">
      <c r="A13" s="256">
        <v>15000</v>
      </c>
      <c r="B13" s="257" t="s">
        <v>8</v>
      </c>
      <c r="C13" s="717">
        <v>6.8658744806100985E-2</v>
      </c>
      <c r="D13" s="259">
        <f t="shared" si="0"/>
        <v>131395433</v>
      </c>
      <c r="E13" s="793"/>
    </row>
    <row r="14" spans="1:5" x14ac:dyDescent="0.25">
      <c r="A14" s="256">
        <v>16000</v>
      </c>
      <c r="B14" s="257" t="s">
        <v>218</v>
      </c>
      <c r="C14" s="717">
        <v>8.1347942662803978E-3</v>
      </c>
      <c r="D14" s="259">
        <f t="shared" si="0"/>
        <v>15567934</v>
      </c>
      <c r="E14" s="793"/>
    </row>
    <row r="15" spans="1:5" x14ac:dyDescent="0.25">
      <c r="A15" s="256">
        <v>17000</v>
      </c>
      <c r="B15" s="257" t="s">
        <v>9</v>
      </c>
      <c r="C15" s="717">
        <v>1.6742916289521535E-2</v>
      </c>
      <c r="D15" s="259">
        <f t="shared" si="0"/>
        <v>32041697</v>
      </c>
      <c r="E15" s="793"/>
    </row>
    <row r="16" spans="1:5" x14ac:dyDescent="0.25">
      <c r="A16" s="256">
        <v>18000</v>
      </c>
      <c r="B16" s="257" t="s">
        <v>10</v>
      </c>
      <c r="C16" s="717">
        <v>8.5734991375327058E-3</v>
      </c>
      <c r="D16" s="259">
        <f t="shared" si="0"/>
        <v>16407504</v>
      </c>
      <c r="E16" s="793"/>
    </row>
    <row r="17" spans="1:5" x14ac:dyDescent="0.25">
      <c r="A17" s="256">
        <v>19000</v>
      </c>
      <c r="B17" s="257" t="s">
        <v>11</v>
      </c>
      <c r="C17" s="717">
        <v>3.4268561079448569E-3</v>
      </c>
      <c r="D17" s="259">
        <f t="shared" si="0"/>
        <v>6558134</v>
      </c>
      <c r="E17" s="793"/>
    </row>
    <row r="18" spans="1:5" x14ac:dyDescent="0.25">
      <c r="A18" s="256">
        <v>21000</v>
      </c>
      <c r="B18" s="257" t="s">
        <v>12</v>
      </c>
      <c r="C18" s="717">
        <v>8.2812568621787805E-2</v>
      </c>
      <c r="D18" s="259">
        <f t="shared" si="0"/>
        <v>158482263</v>
      </c>
      <c r="E18" s="793"/>
    </row>
    <row r="19" spans="1:5" x14ac:dyDescent="0.25">
      <c r="A19" s="256">
        <v>22000</v>
      </c>
      <c r="B19" s="257" t="s">
        <v>13</v>
      </c>
      <c r="C19" s="717">
        <v>4.4047731603992765E-2</v>
      </c>
      <c r="D19" s="259">
        <f t="shared" si="0"/>
        <v>84296192</v>
      </c>
      <c r="E19" s="793"/>
    </row>
    <row r="20" spans="1:5" x14ac:dyDescent="0.25">
      <c r="A20" s="256">
        <v>23000</v>
      </c>
      <c r="B20" s="257" t="s">
        <v>14</v>
      </c>
      <c r="C20" s="717">
        <v>2.3579505702376886E-2</v>
      </c>
      <c r="D20" s="259">
        <f>ROUND(C20*$C$5-0.1,0)</f>
        <v>45125196</v>
      </c>
      <c r="E20" s="793"/>
    </row>
    <row r="21" spans="1:5" x14ac:dyDescent="0.25">
      <c r="A21" s="256">
        <v>24000</v>
      </c>
      <c r="B21" s="257" t="s">
        <v>15</v>
      </c>
      <c r="C21" s="717">
        <v>1.200253537702697E-2</v>
      </c>
      <c r="D21" s="259">
        <f t="shared" si="0"/>
        <v>22969810</v>
      </c>
      <c r="E21" s="793"/>
    </row>
    <row r="22" spans="1:5" x14ac:dyDescent="0.25">
      <c r="A22" s="256">
        <v>25000</v>
      </c>
      <c r="B22" s="257" t="s">
        <v>16</v>
      </c>
      <c r="C22" s="717">
        <v>1.4550955042376393E-2</v>
      </c>
      <c r="D22" s="259">
        <f t="shared" si="0"/>
        <v>27846839</v>
      </c>
      <c r="E22" s="793"/>
    </row>
    <row r="23" spans="1:5" x14ac:dyDescent="0.25">
      <c r="A23" s="256">
        <v>26000</v>
      </c>
      <c r="B23" s="257" t="s">
        <v>17</v>
      </c>
      <c r="C23" s="717">
        <v>7.5433035522208022E-2</v>
      </c>
      <c r="D23" s="259">
        <f t="shared" si="0"/>
        <v>144359708</v>
      </c>
      <c r="E23" s="793"/>
    </row>
    <row r="24" spans="1:5" x14ac:dyDescent="0.25">
      <c r="A24" s="256">
        <v>27000</v>
      </c>
      <c r="B24" s="257" t="s">
        <v>18</v>
      </c>
      <c r="C24" s="717">
        <v>4.0329943969767336E-2</v>
      </c>
      <c r="D24" s="259">
        <f t="shared" si="0"/>
        <v>77181289</v>
      </c>
      <c r="E24" s="793"/>
    </row>
    <row r="25" spans="1:5" x14ac:dyDescent="0.25">
      <c r="A25" s="256">
        <v>28000</v>
      </c>
      <c r="B25" s="257" t="s">
        <v>19</v>
      </c>
      <c r="C25" s="717">
        <v>1.2507913934560371E-2</v>
      </c>
      <c r="D25" s="259">
        <f t="shared" si="0"/>
        <v>23936977</v>
      </c>
      <c r="E25" s="793"/>
    </row>
    <row r="26" spans="1:5" x14ac:dyDescent="0.25">
      <c r="A26" s="256">
        <v>31000</v>
      </c>
      <c r="B26" s="257" t="s">
        <v>20</v>
      </c>
      <c r="C26" s="717">
        <v>1.6387646528081851E-2</v>
      </c>
      <c r="D26" s="259">
        <f t="shared" si="0"/>
        <v>31361801</v>
      </c>
      <c r="E26" s="793"/>
    </row>
    <row r="27" spans="1:5" x14ac:dyDescent="0.25">
      <c r="A27" s="256">
        <v>41000</v>
      </c>
      <c r="B27" s="257" t="s">
        <v>21</v>
      </c>
      <c r="C27" s="717">
        <v>5.1844132314395108E-2</v>
      </c>
      <c r="D27" s="259">
        <f t="shared" si="0"/>
        <v>99216527</v>
      </c>
      <c r="E27" s="793"/>
    </row>
    <row r="28" spans="1:5" x14ac:dyDescent="0.25">
      <c r="A28" s="256">
        <v>43000</v>
      </c>
      <c r="B28" s="257" t="s">
        <v>22</v>
      </c>
      <c r="C28" s="717">
        <v>2.7503040628409928E-2</v>
      </c>
      <c r="D28" s="259">
        <f t="shared" si="0"/>
        <v>52633848</v>
      </c>
      <c r="E28" s="793"/>
    </row>
    <row r="29" spans="1:5" x14ac:dyDescent="0.25">
      <c r="A29" s="256">
        <v>51000</v>
      </c>
      <c r="B29" s="257" t="s">
        <v>23</v>
      </c>
      <c r="C29" s="717">
        <v>6.0767075621758898E-3</v>
      </c>
      <c r="D29" s="259">
        <f t="shared" si="0"/>
        <v>11629278</v>
      </c>
      <c r="E29" s="793"/>
    </row>
    <row r="30" spans="1:5" x14ac:dyDescent="0.25">
      <c r="A30" s="256">
        <v>52000</v>
      </c>
      <c r="B30" s="257" t="s">
        <v>24</v>
      </c>
      <c r="C30" s="717">
        <v>1.775904652687719E-3</v>
      </c>
      <c r="D30" s="259">
        <f t="shared" si="0"/>
        <v>3398631</v>
      </c>
      <c r="E30" s="793"/>
    </row>
    <row r="31" spans="1:5" x14ac:dyDescent="0.25">
      <c r="A31" s="256">
        <v>53000</v>
      </c>
      <c r="B31" s="257" t="s">
        <v>25</v>
      </c>
      <c r="C31" s="717">
        <v>2.883485672798225E-3</v>
      </c>
      <c r="D31" s="259">
        <f t="shared" si="0"/>
        <v>5518261</v>
      </c>
      <c r="E31" s="793"/>
    </row>
    <row r="32" spans="1:5" x14ac:dyDescent="0.25">
      <c r="A32" s="256">
        <v>54000</v>
      </c>
      <c r="B32" s="257" t="s">
        <v>223</v>
      </c>
      <c r="C32" s="717">
        <v>3.344496000063459E-3</v>
      </c>
      <c r="D32" s="259">
        <f t="shared" si="0"/>
        <v>6400518</v>
      </c>
      <c r="E32" s="793"/>
    </row>
    <row r="33" spans="1:5" x14ac:dyDescent="0.25">
      <c r="A33" s="256">
        <v>55000</v>
      </c>
      <c r="B33" s="257" t="s">
        <v>26</v>
      </c>
      <c r="C33" s="717">
        <v>0</v>
      </c>
      <c r="D33" s="259">
        <f t="shared" si="0"/>
        <v>0</v>
      </c>
      <c r="E33" s="793"/>
    </row>
    <row r="34" spans="1:5" ht="15.75" thickBot="1" x14ac:dyDescent="0.3">
      <c r="A34" s="260">
        <v>56000</v>
      </c>
      <c r="B34" s="261" t="s">
        <v>27</v>
      </c>
      <c r="C34" s="718">
        <v>0</v>
      </c>
      <c r="D34" s="262">
        <f t="shared" si="0"/>
        <v>0</v>
      </c>
      <c r="E34" s="793"/>
    </row>
    <row r="35" spans="1:5" ht="15.75" thickBot="1" x14ac:dyDescent="0.3">
      <c r="A35" s="263"/>
      <c r="B35" s="264" t="s">
        <v>28</v>
      </c>
      <c r="C35" s="719">
        <f>SUM(C9:C34)</f>
        <v>1</v>
      </c>
      <c r="D35" s="265">
        <f>SUM(D9:D34)</f>
        <v>1913746500</v>
      </c>
    </row>
    <row r="36" spans="1:5" x14ac:dyDescent="0.25">
      <c r="A36" s="266"/>
      <c r="B36" s="267"/>
      <c r="C36" s="267"/>
      <c r="D36" s="267"/>
    </row>
    <row r="38" spans="1:5" x14ac:dyDescent="0.25">
      <c r="A38" s="544" t="s">
        <v>209</v>
      </c>
    </row>
  </sheetData>
  <mergeCells count="1">
    <mergeCell ref="A1:D1"/>
  </mergeCells>
  <hyperlinks>
    <hyperlink ref="A38" location="'0 Seznam'!A1" display="Seznam" xr:uid="{AAF16864-1CF8-4CF3-AAA7-7731BF62D60A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842/2025-1
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G41"/>
  <sheetViews>
    <sheetView zoomScale="85" zoomScaleNormal="85" workbookViewId="0">
      <selection activeCell="L11" sqref="L11"/>
    </sheetView>
  </sheetViews>
  <sheetFormatPr defaultRowHeight="15" x14ac:dyDescent="0.25"/>
  <cols>
    <col min="1" max="1" width="10.140625" customWidth="1"/>
    <col min="2" max="2" width="61.140625" customWidth="1"/>
    <col min="3" max="7" width="16.7109375" customWidth="1"/>
  </cols>
  <sheetData>
    <row r="1" spans="1:7" ht="27.75" x14ac:dyDescent="0.25">
      <c r="A1" s="344" t="s">
        <v>114</v>
      </c>
    </row>
    <row r="2" spans="1:7" x14ac:dyDescent="0.25">
      <c r="A2" s="345"/>
    </row>
    <row r="3" spans="1:7" ht="20.25" x14ac:dyDescent="0.25">
      <c r="A3" s="346" t="s">
        <v>255</v>
      </c>
    </row>
    <row r="4" spans="1:7" ht="15.75" thickBot="1" x14ac:dyDescent="0.3"/>
    <row r="5" spans="1:7" x14ac:dyDescent="0.25">
      <c r="A5" s="952" t="s">
        <v>2</v>
      </c>
      <c r="B5" s="954" t="s">
        <v>3</v>
      </c>
      <c r="C5" s="347" t="s">
        <v>115</v>
      </c>
      <c r="D5" s="347"/>
      <c r="E5" s="347"/>
      <c r="F5" s="348"/>
      <c r="G5" s="954" t="s">
        <v>216</v>
      </c>
    </row>
    <row r="6" spans="1:7" ht="26.25" thickBot="1" x14ac:dyDescent="0.3">
      <c r="A6" s="953"/>
      <c r="B6" s="955"/>
      <c r="C6" s="349" t="s">
        <v>116</v>
      </c>
      <c r="D6" s="350" t="s">
        <v>117</v>
      </c>
      <c r="E6" s="350" t="s">
        <v>118</v>
      </c>
      <c r="F6" s="350" t="s">
        <v>119</v>
      </c>
      <c r="G6" s="955"/>
    </row>
    <row r="7" spans="1:7" x14ac:dyDescent="0.25">
      <c r="A7" s="351">
        <v>11000</v>
      </c>
      <c r="B7" s="352" t="s">
        <v>4</v>
      </c>
      <c r="C7" s="353">
        <v>691527</v>
      </c>
      <c r="D7" s="354">
        <v>56968</v>
      </c>
      <c r="E7" s="354">
        <f>0.4*D7</f>
        <v>22787.200000000001</v>
      </c>
      <c r="F7" s="354">
        <f>E7+C7</f>
        <v>714314.2</v>
      </c>
      <c r="G7" s="355">
        <f>ROUND(F7*$G$36,-3)</f>
        <v>14643000</v>
      </c>
    </row>
    <row r="8" spans="1:7" x14ac:dyDescent="0.25">
      <c r="A8" s="356">
        <v>12000</v>
      </c>
      <c r="B8" s="357" t="s">
        <v>5</v>
      </c>
      <c r="C8" s="353">
        <v>82965</v>
      </c>
      <c r="D8" s="354">
        <v>3015</v>
      </c>
      <c r="E8" s="354">
        <f t="shared" ref="E8:E32" si="0">0.4*D8</f>
        <v>1206</v>
      </c>
      <c r="F8" s="354">
        <f t="shared" ref="F8:F32" si="1">E8+C8</f>
        <v>84171</v>
      </c>
      <c r="G8" s="355">
        <f t="shared" ref="G8:G32" si="2">ROUND(F8*$G$36,-3)</f>
        <v>1726000</v>
      </c>
    </row>
    <row r="9" spans="1:7" x14ac:dyDescent="0.25">
      <c r="A9" s="356">
        <v>13000</v>
      </c>
      <c r="B9" s="357" t="s">
        <v>6</v>
      </c>
      <c r="C9" s="353">
        <v>21236</v>
      </c>
      <c r="D9" s="354">
        <v>787</v>
      </c>
      <c r="E9" s="354">
        <f t="shared" si="0"/>
        <v>314.8</v>
      </c>
      <c r="F9" s="354">
        <f t="shared" si="1"/>
        <v>21550.799999999999</v>
      </c>
      <c r="G9" s="355">
        <f t="shared" si="2"/>
        <v>442000</v>
      </c>
    </row>
    <row r="10" spans="1:7" x14ac:dyDescent="0.25">
      <c r="A10" s="356">
        <v>14000</v>
      </c>
      <c r="B10" s="357" t="s">
        <v>7</v>
      </c>
      <c r="C10" s="353">
        <v>228149</v>
      </c>
      <c r="D10" s="354">
        <v>256</v>
      </c>
      <c r="E10" s="354">
        <f t="shared" si="0"/>
        <v>102.4</v>
      </c>
      <c r="F10" s="354">
        <f t="shared" si="1"/>
        <v>228251.4</v>
      </c>
      <c r="G10" s="355">
        <f t="shared" si="2"/>
        <v>4679000</v>
      </c>
    </row>
    <row r="11" spans="1:7" x14ac:dyDescent="0.25">
      <c r="A11" s="356">
        <v>15000</v>
      </c>
      <c r="B11" s="357" t="s">
        <v>8</v>
      </c>
      <c r="C11" s="353">
        <v>301175</v>
      </c>
      <c r="D11" s="354">
        <v>67977</v>
      </c>
      <c r="E11" s="354">
        <f t="shared" si="0"/>
        <v>27190.800000000003</v>
      </c>
      <c r="F11" s="354">
        <f t="shared" si="1"/>
        <v>328365.8</v>
      </c>
      <c r="G11" s="355">
        <f t="shared" si="2"/>
        <v>6731000</v>
      </c>
    </row>
    <row r="12" spans="1:7" x14ac:dyDescent="0.25">
      <c r="A12" s="356">
        <v>16000</v>
      </c>
      <c r="B12" s="357" t="s">
        <v>218</v>
      </c>
      <c r="C12" s="353">
        <v>0</v>
      </c>
      <c r="D12" s="354">
        <v>0</v>
      </c>
      <c r="E12" s="354">
        <f t="shared" si="0"/>
        <v>0</v>
      </c>
      <c r="F12" s="354">
        <f t="shared" si="1"/>
        <v>0</v>
      </c>
      <c r="G12" s="355">
        <f t="shared" si="2"/>
        <v>0</v>
      </c>
    </row>
    <row r="13" spans="1:7" x14ac:dyDescent="0.25">
      <c r="A13" s="356">
        <v>17000</v>
      </c>
      <c r="B13" s="357" t="s">
        <v>9</v>
      </c>
      <c r="C13" s="353">
        <v>3036</v>
      </c>
      <c r="D13" s="354">
        <v>4</v>
      </c>
      <c r="E13" s="354">
        <f t="shared" si="0"/>
        <v>1.6</v>
      </c>
      <c r="F13" s="354">
        <f t="shared" si="1"/>
        <v>3037.6</v>
      </c>
      <c r="G13" s="355">
        <f t="shared" si="2"/>
        <v>62000</v>
      </c>
    </row>
    <row r="14" spans="1:7" x14ac:dyDescent="0.25">
      <c r="A14" s="356">
        <v>18000</v>
      </c>
      <c r="B14" s="357" t="s">
        <v>10</v>
      </c>
      <c r="C14" s="353">
        <v>22530</v>
      </c>
      <c r="D14" s="354">
        <v>0</v>
      </c>
      <c r="E14" s="354">
        <f t="shared" si="0"/>
        <v>0</v>
      </c>
      <c r="F14" s="354">
        <f t="shared" si="1"/>
        <v>22530</v>
      </c>
      <c r="G14" s="355">
        <f t="shared" si="2"/>
        <v>462000</v>
      </c>
    </row>
    <row r="15" spans="1:7" x14ac:dyDescent="0.25">
      <c r="A15" s="356">
        <v>19000</v>
      </c>
      <c r="B15" s="357" t="s">
        <v>11</v>
      </c>
      <c r="C15" s="353">
        <v>58576</v>
      </c>
      <c r="D15" s="354">
        <v>2656</v>
      </c>
      <c r="E15" s="354">
        <f t="shared" si="0"/>
        <v>1062.4000000000001</v>
      </c>
      <c r="F15" s="354">
        <f t="shared" si="1"/>
        <v>59638.400000000001</v>
      </c>
      <c r="G15" s="355">
        <f t="shared" si="2"/>
        <v>1223000</v>
      </c>
    </row>
    <row r="16" spans="1:7" x14ac:dyDescent="0.25">
      <c r="A16" s="356">
        <v>21000</v>
      </c>
      <c r="B16" s="357" t="s">
        <v>12</v>
      </c>
      <c r="C16" s="353">
        <v>639195</v>
      </c>
      <c r="D16" s="354">
        <v>48300</v>
      </c>
      <c r="E16" s="354">
        <f t="shared" si="0"/>
        <v>19320</v>
      </c>
      <c r="F16" s="354">
        <f t="shared" si="1"/>
        <v>658515</v>
      </c>
      <c r="G16" s="355">
        <f t="shared" si="2"/>
        <v>13500000</v>
      </c>
    </row>
    <row r="17" spans="1:7" x14ac:dyDescent="0.25">
      <c r="A17" s="356">
        <v>22000</v>
      </c>
      <c r="B17" s="357" t="s">
        <v>13</v>
      </c>
      <c r="C17" s="353">
        <v>22250</v>
      </c>
      <c r="D17" s="354">
        <v>1167</v>
      </c>
      <c r="E17" s="354">
        <f t="shared" si="0"/>
        <v>466.8</v>
      </c>
      <c r="F17" s="354">
        <f t="shared" si="1"/>
        <v>22716.799999999999</v>
      </c>
      <c r="G17" s="355">
        <f t="shared" si="2"/>
        <v>466000</v>
      </c>
    </row>
    <row r="18" spans="1:7" x14ac:dyDescent="0.25">
      <c r="A18" s="356">
        <v>23000</v>
      </c>
      <c r="B18" s="357" t="s">
        <v>14</v>
      </c>
      <c r="C18" s="353">
        <v>156699</v>
      </c>
      <c r="D18" s="354">
        <v>15035</v>
      </c>
      <c r="E18" s="354">
        <f t="shared" si="0"/>
        <v>6014</v>
      </c>
      <c r="F18" s="354">
        <f t="shared" si="1"/>
        <v>162713</v>
      </c>
      <c r="G18" s="355">
        <f t="shared" si="2"/>
        <v>3336000</v>
      </c>
    </row>
    <row r="19" spans="1:7" x14ac:dyDescent="0.25">
      <c r="A19" s="356">
        <v>24000</v>
      </c>
      <c r="B19" s="357" t="s">
        <v>15</v>
      </c>
      <c r="C19" s="353">
        <v>145170</v>
      </c>
      <c r="D19" s="354">
        <v>7031</v>
      </c>
      <c r="E19" s="354">
        <f t="shared" si="0"/>
        <v>2812.4</v>
      </c>
      <c r="F19" s="354">
        <f t="shared" si="1"/>
        <v>147982.39999999999</v>
      </c>
      <c r="G19" s="355">
        <f t="shared" si="2"/>
        <v>3034000</v>
      </c>
    </row>
    <row r="20" spans="1:7" x14ac:dyDescent="0.25">
      <c r="A20" s="356">
        <v>25000</v>
      </c>
      <c r="B20" s="357" t="s">
        <v>16</v>
      </c>
      <c r="C20" s="353">
        <v>75720</v>
      </c>
      <c r="D20" s="354">
        <v>29</v>
      </c>
      <c r="E20" s="354">
        <f t="shared" si="0"/>
        <v>11.600000000000001</v>
      </c>
      <c r="F20" s="354">
        <f t="shared" si="1"/>
        <v>75731.600000000006</v>
      </c>
      <c r="G20" s="355">
        <f t="shared" si="2"/>
        <v>1552000</v>
      </c>
    </row>
    <row r="21" spans="1:7" x14ac:dyDescent="0.25">
      <c r="A21" s="356">
        <v>26000</v>
      </c>
      <c r="B21" s="357" t="s">
        <v>17</v>
      </c>
      <c r="C21" s="353">
        <v>592057</v>
      </c>
      <c r="D21" s="354">
        <v>10549</v>
      </c>
      <c r="E21" s="354">
        <f t="shared" si="0"/>
        <v>4219.6000000000004</v>
      </c>
      <c r="F21" s="354">
        <f t="shared" si="1"/>
        <v>596276.6</v>
      </c>
      <c r="G21" s="355">
        <f t="shared" si="2"/>
        <v>12224000</v>
      </c>
    </row>
    <row r="22" spans="1:7" x14ac:dyDescent="0.25">
      <c r="A22" s="356">
        <v>27000</v>
      </c>
      <c r="B22" s="357" t="s">
        <v>18</v>
      </c>
      <c r="C22" s="353">
        <v>107615</v>
      </c>
      <c r="D22" s="354">
        <v>46000</v>
      </c>
      <c r="E22" s="354">
        <f t="shared" si="0"/>
        <v>18400</v>
      </c>
      <c r="F22" s="354">
        <f t="shared" si="1"/>
        <v>126015</v>
      </c>
      <c r="G22" s="355">
        <f t="shared" si="2"/>
        <v>2583000</v>
      </c>
    </row>
    <row r="23" spans="1:7" x14ac:dyDescent="0.25">
      <c r="A23" s="356">
        <v>28000</v>
      </c>
      <c r="B23" s="357" t="s">
        <v>19</v>
      </c>
      <c r="C23" s="353">
        <v>93979</v>
      </c>
      <c r="D23" s="354">
        <v>33797</v>
      </c>
      <c r="E23" s="354">
        <f t="shared" si="0"/>
        <v>13518.800000000001</v>
      </c>
      <c r="F23" s="354">
        <f t="shared" si="1"/>
        <v>107497.8</v>
      </c>
      <c r="G23" s="355">
        <f t="shared" si="2"/>
        <v>2204000</v>
      </c>
    </row>
    <row r="24" spans="1:7" x14ac:dyDescent="0.25">
      <c r="A24" s="356">
        <v>31000</v>
      </c>
      <c r="B24" s="357" t="s">
        <v>20</v>
      </c>
      <c r="C24" s="353">
        <v>140297</v>
      </c>
      <c r="D24" s="354">
        <v>1747</v>
      </c>
      <c r="E24" s="354">
        <f t="shared" si="0"/>
        <v>698.80000000000007</v>
      </c>
      <c r="F24" s="354">
        <f t="shared" si="1"/>
        <v>140995.79999999999</v>
      </c>
      <c r="G24" s="355">
        <f t="shared" si="2"/>
        <v>2890000</v>
      </c>
    </row>
    <row r="25" spans="1:7" x14ac:dyDescent="0.25">
      <c r="A25" s="356">
        <v>41000</v>
      </c>
      <c r="B25" s="357" t="s">
        <v>21</v>
      </c>
      <c r="C25" s="353">
        <v>193458</v>
      </c>
      <c r="D25" s="354">
        <v>1326</v>
      </c>
      <c r="E25" s="354">
        <f t="shared" si="0"/>
        <v>530.4</v>
      </c>
      <c r="F25" s="354">
        <f t="shared" si="1"/>
        <v>193988.4</v>
      </c>
      <c r="G25" s="355">
        <f t="shared" si="2"/>
        <v>3977000</v>
      </c>
    </row>
    <row r="26" spans="1:7" x14ac:dyDescent="0.25">
      <c r="A26" s="356">
        <v>43000</v>
      </c>
      <c r="B26" s="357" t="s">
        <v>22</v>
      </c>
      <c r="C26" s="353">
        <v>109002</v>
      </c>
      <c r="D26" s="354">
        <v>5265</v>
      </c>
      <c r="E26" s="354">
        <f t="shared" si="0"/>
        <v>2106</v>
      </c>
      <c r="F26" s="354">
        <f t="shared" si="1"/>
        <v>111108</v>
      </c>
      <c r="G26" s="355">
        <f t="shared" si="2"/>
        <v>2278000</v>
      </c>
    </row>
    <row r="27" spans="1:7" x14ac:dyDescent="0.25">
      <c r="A27" s="356">
        <v>51000</v>
      </c>
      <c r="B27" s="357" t="s">
        <v>23</v>
      </c>
      <c r="C27" s="353">
        <v>28869</v>
      </c>
      <c r="D27" s="354">
        <v>13475</v>
      </c>
      <c r="E27" s="354">
        <f t="shared" si="0"/>
        <v>5390</v>
      </c>
      <c r="F27" s="354">
        <f t="shared" si="1"/>
        <v>34259</v>
      </c>
      <c r="G27" s="355">
        <f t="shared" si="2"/>
        <v>702000</v>
      </c>
    </row>
    <row r="28" spans="1:7" x14ac:dyDescent="0.25">
      <c r="A28" s="356">
        <v>52000</v>
      </c>
      <c r="B28" s="357" t="s">
        <v>24</v>
      </c>
      <c r="C28" s="353">
        <v>13562</v>
      </c>
      <c r="D28" s="354">
        <v>0</v>
      </c>
      <c r="E28" s="354">
        <f t="shared" si="0"/>
        <v>0</v>
      </c>
      <c r="F28" s="354">
        <f t="shared" si="1"/>
        <v>13562</v>
      </c>
      <c r="G28" s="355">
        <f t="shared" si="2"/>
        <v>278000</v>
      </c>
    </row>
    <row r="29" spans="1:7" x14ac:dyDescent="0.25">
      <c r="A29" s="356">
        <v>53000</v>
      </c>
      <c r="B29" s="357" t="s">
        <v>25</v>
      </c>
      <c r="C29" s="353">
        <v>0</v>
      </c>
      <c r="D29" s="354">
        <v>0</v>
      </c>
      <c r="E29" s="354">
        <f t="shared" si="0"/>
        <v>0</v>
      </c>
      <c r="F29" s="354">
        <f t="shared" si="1"/>
        <v>0</v>
      </c>
      <c r="G29" s="355">
        <f t="shared" si="2"/>
        <v>0</v>
      </c>
    </row>
    <row r="30" spans="1:7" x14ac:dyDescent="0.25">
      <c r="A30" s="356">
        <v>54000</v>
      </c>
      <c r="B30" s="357" t="s">
        <v>223</v>
      </c>
      <c r="C30" s="353">
        <v>0</v>
      </c>
      <c r="D30" s="354">
        <v>0</v>
      </c>
      <c r="E30" s="354">
        <f t="shared" si="0"/>
        <v>0</v>
      </c>
      <c r="F30" s="354">
        <f t="shared" si="1"/>
        <v>0</v>
      </c>
      <c r="G30" s="355">
        <f t="shared" si="2"/>
        <v>0</v>
      </c>
    </row>
    <row r="31" spans="1:7" x14ac:dyDescent="0.25">
      <c r="A31" s="356">
        <v>55000</v>
      </c>
      <c r="B31" s="357" t="s">
        <v>26</v>
      </c>
      <c r="C31" s="353">
        <v>13329</v>
      </c>
      <c r="D31" s="354">
        <v>0</v>
      </c>
      <c r="E31" s="354">
        <f t="shared" si="0"/>
        <v>0</v>
      </c>
      <c r="F31" s="354">
        <f t="shared" si="1"/>
        <v>13329</v>
      </c>
      <c r="G31" s="355">
        <f t="shared" si="2"/>
        <v>273000</v>
      </c>
    </row>
    <row r="32" spans="1:7" ht="15.75" thickBot="1" x14ac:dyDescent="0.3">
      <c r="A32" s="358">
        <v>56000</v>
      </c>
      <c r="B32" s="359" t="s">
        <v>27</v>
      </c>
      <c r="C32" s="360">
        <v>15538</v>
      </c>
      <c r="D32" s="361">
        <v>810</v>
      </c>
      <c r="E32" s="361">
        <f t="shared" si="0"/>
        <v>324</v>
      </c>
      <c r="F32" s="361">
        <f t="shared" si="1"/>
        <v>15862</v>
      </c>
      <c r="G32" s="355">
        <f t="shared" si="2"/>
        <v>325000</v>
      </c>
    </row>
    <row r="33" spans="1:7" ht="15.75" thickBot="1" x14ac:dyDescent="0.3">
      <c r="A33" s="362"/>
      <c r="B33" s="363" t="s">
        <v>28</v>
      </c>
      <c r="C33" s="364">
        <f>SUM(C7:C32)</f>
        <v>3755934</v>
      </c>
      <c r="D33" s="365">
        <f>SUM(D7:D32)</f>
        <v>316194</v>
      </c>
      <c r="E33" s="365">
        <f>SUM(E7:E32)</f>
        <v>126477.60000000002</v>
      </c>
      <c r="F33" s="365">
        <f>SUM(F7:F32)</f>
        <v>3882411.5999999996</v>
      </c>
      <c r="G33" s="366">
        <f>SUM(G7:G32)</f>
        <v>79590000</v>
      </c>
    </row>
    <row r="34" spans="1:7" x14ac:dyDescent="0.25">
      <c r="A34" s="367"/>
      <c r="B34" s="367"/>
      <c r="C34" s="367"/>
      <c r="D34" s="367"/>
      <c r="E34" s="367"/>
      <c r="F34" s="367"/>
      <c r="G34" s="786" t="s">
        <v>256</v>
      </c>
    </row>
    <row r="35" spans="1:7" x14ac:dyDescent="0.25">
      <c r="A35" s="35"/>
    </row>
    <row r="36" spans="1:7" x14ac:dyDescent="0.25">
      <c r="A36" s="368" t="s">
        <v>120</v>
      </c>
      <c r="B36" s="368"/>
      <c r="C36" s="369"/>
      <c r="D36" s="370"/>
      <c r="E36" s="370"/>
      <c r="F36" s="371"/>
      <c r="G36" s="372">
        <v>20.5</v>
      </c>
    </row>
    <row r="37" spans="1:7" x14ac:dyDescent="0.25">
      <c r="A37" s="373" t="s">
        <v>210</v>
      </c>
      <c r="B37" s="373"/>
      <c r="C37" s="374"/>
      <c r="D37" s="375"/>
      <c r="E37" s="375"/>
      <c r="F37" s="376"/>
      <c r="G37" s="353">
        <f>G33</f>
        <v>79590000</v>
      </c>
    </row>
    <row r="38" spans="1:7" x14ac:dyDescent="0.25">
      <c r="A38" s="368" t="s">
        <v>269</v>
      </c>
      <c r="B38" s="368"/>
      <c r="C38" s="369"/>
      <c r="D38" s="370"/>
      <c r="E38" s="370"/>
      <c r="F38" s="371"/>
      <c r="G38" s="377">
        <f>'1 Bilance'!O24</f>
        <v>115245402</v>
      </c>
    </row>
    <row r="39" spans="1:7" x14ac:dyDescent="0.25">
      <c r="A39" s="373" t="s">
        <v>273</v>
      </c>
      <c r="B39" s="373"/>
      <c r="C39" s="374"/>
      <c r="D39" s="375"/>
      <c r="E39" s="375"/>
      <c r="F39" s="376"/>
      <c r="G39" s="353">
        <f>G38-G37</f>
        <v>35655402</v>
      </c>
    </row>
    <row r="41" spans="1:7" x14ac:dyDescent="0.25">
      <c r="A41" s="544" t="s">
        <v>209</v>
      </c>
    </row>
  </sheetData>
  <mergeCells count="3">
    <mergeCell ref="A5:A6"/>
    <mergeCell ref="B5:B6"/>
    <mergeCell ref="G5:G6"/>
  </mergeCells>
  <hyperlinks>
    <hyperlink ref="A41" location="'0 Seznam'!A1" display="Seznam" xr:uid="{7BDD0E91-183E-4E99-BA48-3E6DBFCFE4B3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842/2025-1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E45"/>
  <sheetViews>
    <sheetView topLeftCell="A5" zoomScale="85" zoomScaleNormal="85" workbookViewId="0">
      <selection activeCell="I1" sqref="I1"/>
    </sheetView>
  </sheetViews>
  <sheetFormatPr defaultRowHeight="15" x14ac:dyDescent="0.25"/>
  <cols>
    <col min="1" max="1" width="9.42578125" customWidth="1"/>
    <col min="2" max="2" width="56.140625" customWidth="1"/>
    <col min="3" max="3" width="13.7109375" customWidth="1"/>
    <col min="4" max="4" width="14.140625" customWidth="1"/>
    <col min="8" max="8" width="12.5703125" bestFit="1" customWidth="1"/>
    <col min="9" max="9" width="10.5703125" bestFit="1" customWidth="1"/>
  </cols>
  <sheetData>
    <row r="1" spans="1:4" ht="27.75" x14ac:dyDescent="0.25">
      <c r="A1" s="268" t="s">
        <v>90</v>
      </c>
      <c r="B1" s="250"/>
      <c r="C1" s="250"/>
      <c r="D1" s="250"/>
    </row>
    <row r="2" spans="1:4" ht="23.25" x14ac:dyDescent="0.25">
      <c r="A2" s="269"/>
      <c r="B2" s="250"/>
      <c r="C2" s="250"/>
      <c r="D2" s="250"/>
    </row>
    <row r="3" spans="1:4" ht="20.25" x14ac:dyDescent="0.25">
      <c r="A3" s="270" t="s">
        <v>252</v>
      </c>
      <c r="B3" s="250"/>
      <c r="C3" s="250"/>
      <c r="D3" s="250"/>
    </row>
    <row r="4" spans="1:4" x14ac:dyDescent="0.25">
      <c r="A4" s="267"/>
      <c r="B4" s="267"/>
      <c r="C4" s="267"/>
      <c r="D4" s="267"/>
    </row>
    <row r="5" spans="1:4" ht="20.25" x14ac:dyDescent="0.25">
      <c r="A5" s="270" t="s">
        <v>91</v>
      </c>
      <c r="B5" s="271"/>
      <c r="C5" s="271"/>
      <c r="D5" s="271"/>
    </row>
    <row r="6" spans="1:4" x14ac:dyDescent="0.25">
      <c r="A6" s="272"/>
      <c r="B6" s="250"/>
      <c r="C6" s="250"/>
      <c r="D6" s="250"/>
    </row>
    <row r="7" spans="1:4" x14ac:dyDescent="0.25">
      <c r="A7" s="960" t="s">
        <v>92</v>
      </c>
      <c r="B7" s="961"/>
      <c r="C7" s="962"/>
      <c r="D7" s="273">
        <f>SUM(C17:C42)</f>
        <v>144259</v>
      </c>
    </row>
    <row r="8" spans="1:4" x14ac:dyDescent="0.25">
      <c r="A8" s="960" t="s">
        <v>93</v>
      </c>
      <c r="B8" s="961"/>
      <c r="C8" s="962"/>
      <c r="D8" s="273">
        <v>9330</v>
      </c>
    </row>
    <row r="9" spans="1:4" x14ac:dyDescent="0.25">
      <c r="A9" s="960" t="s">
        <v>94</v>
      </c>
      <c r="B9" s="961"/>
      <c r="C9" s="962"/>
      <c r="D9" s="273">
        <v>6150</v>
      </c>
    </row>
    <row r="10" spans="1:4" x14ac:dyDescent="0.25">
      <c r="A10" s="960" t="s">
        <v>95</v>
      </c>
      <c r="B10" s="961"/>
      <c r="C10" s="962"/>
      <c r="D10" s="273">
        <f>D43</f>
        <v>887192850</v>
      </c>
    </row>
    <row r="11" spans="1:4" x14ac:dyDescent="0.25">
      <c r="A11" s="963" t="s">
        <v>211</v>
      </c>
      <c r="B11" s="964"/>
      <c r="C11" s="965"/>
      <c r="D11" s="781">
        <v>28500000</v>
      </c>
    </row>
    <row r="12" spans="1:4" x14ac:dyDescent="0.25">
      <c r="A12" s="780"/>
      <c r="B12" s="780"/>
      <c r="C12" s="780"/>
      <c r="D12" s="782"/>
    </row>
    <row r="13" spans="1:4" ht="20.25" x14ac:dyDescent="0.25">
      <c r="A13" s="270" t="s">
        <v>96</v>
      </c>
      <c r="B13" s="783"/>
      <c r="C13" s="783"/>
      <c r="D13" s="251"/>
    </row>
    <row r="14" spans="1:4" ht="15.75" thickBot="1" x14ac:dyDescent="0.3">
      <c r="A14" s="783"/>
      <c r="B14" s="783"/>
      <c r="C14" s="783"/>
      <c r="D14" s="251"/>
    </row>
    <row r="15" spans="1:4" x14ac:dyDescent="0.25">
      <c r="A15" s="966" t="s">
        <v>2</v>
      </c>
      <c r="B15" s="968" t="s">
        <v>97</v>
      </c>
      <c r="C15" s="968" t="s">
        <v>253</v>
      </c>
      <c r="D15" s="956" t="s">
        <v>98</v>
      </c>
    </row>
    <row r="16" spans="1:4" ht="41.25" customHeight="1" thickBot="1" x14ac:dyDescent="0.3">
      <c r="A16" s="967"/>
      <c r="B16" s="969"/>
      <c r="C16" s="969"/>
      <c r="D16" s="957"/>
    </row>
    <row r="17" spans="1:4" x14ac:dyDescent="0.25">
      <c r="A17" s="274">
        <v>11000</v>
      </c>
      <c r="B17" s="275" t="s">
        <v>4</v>
      </c>
      <c r="C17" s="276">
        <v>24250</v>
      </c>
      <c r="D17" s="277">
        <f>C17*$D$9</f>
        <v>149137500</v>
      </c>
    </row>
    <row r="18" spans="1:4" x14ac:dyDescent="0.25">
      <c r="A18" s="278">
        <v>12000</v>
      </c>
      <c r="B18" s="279" t="s">
        <v>5</v>
      </c>
      <c r="C18" s="280">
        <v>4646</v>
      </c>
      <c r="D18" s="281">
        <f t="shared" ref="D18:D42" si="0">C18*$D$9</f>
        <v>28572900</v>
      </c>
    </row>
    <row r="19" spans="1:4" x14ac:dyDescent="0.25">
      <c r="A19" s="278">
        <v>13000</v>
      </c>
      <c r="B19" s="279" t="s">
        <v>6</v>
      </c>
      <c r="C19" s="280">
        <v>3362</v>
      </c>
      <c r="D19" s="281">
        <f t="shared" si="0"/>
        <v>20676300</v>
      </c>
    </row>
    <row r="20" spans="1:4" x14ac:dyDescent="0.25">
      <c r="A20" s="278">
        <v>14000</v>
      </c>
      <c r="B20" s="279" t="s">
        <v>7</v>
      </c>
      <c r="C20" s="280">
        <v>18918</v>
      </c>
      <c r="D20" s="281">
        <f t="shared" si="0"/>
        <v>116345700</v>
      </c>
    </row>
    <row r="21" spans="1:4" x14ac:dyDescent="0.25">
      <c r="A21" s="278">
        <v>15000</v>
      </c>
      <c r="B21" s="279" t="s">
        <v>8</v>
      </c>
      <c r="C21" s="280">
        <v>11272</v>
      </c>
      <c r="D21" s="281">
        <f t="shared" si="0"/>
        <v>69322800</v>
      </c>
    </row>
    <row r="22" spans="1:4" x14ac:dyDescent="0.25">
      <c r="A22" s="278">
        <v>16000</v>
      </c>
      <c r="B22" s="279" t="s">
        <v>218</v>
      </c>
      <c r="C22" s="280">
        <v>1504</v>
      </c>
      <c r="D22" s="281">
        <f t="shared" si="0"/>
        <v>9249600</v>
      </c>
    </row>
    <row r="23" spans="1:4" x14ac:dyDescent="0.25">
      <c r="A23" s="278">
        <v>17000</v>
      </c>
      <c r="B23" s="279" t="s">
        <v>9</v>
      </c>
      <c r="C23" s="280">
        <v>4225</v>
      </c>
      <c r="D23" s="281">
        <f t="shared" si="0"/>
        <v>25983750</v>
      </c>
    </row>
    <row r="24" spans="1:4" x14ac:dyDescent="0.25">
      <c r="A24" s="278">
        <v>18000</v>
      </c>
      <c r="B24" s="279" t="s">
        <v>10</v>
      </c>
      <c r="C24" s="280">
        <v>2935</v>
      </c>
      <c r="D24" s="281">
        <f t="shared" si="0"/>
        <v>18050250</v>
      </c>
    </row>
    <row r="25" spans="1:4" x14ac:dyDescent="0.25">
      <c r="A25" s="278">
        <v>19000</v>
      </c>
      <c r="B25" s="279" t="s">
        <v>11</v>
      </c>
      <c r="C25" s="280">
        <v>1301</v>
      </c>
      <c r="D25" s="281">
        <f t="shared" si="0"/>
        <v>8001150</v>
      </c>
    </row>
    <row r="26" spans="1:4" x14ac:dyDescent="0.25">
      <c r="A26" s="278">
        <v>21000</v>
      </c>
      <c r="B26" s="279" t="s">
        <v>12</v>
      </c>
      <c r="C26" s="280">
        <v>10095</v>
      </c>
      <c r="D26" s="281">
        <f t="shared" si="0"/>
        <v>62084250</v>
      </c>
    </row>
    <row r="27" spans="1:4" x14ac:dyDescent="0.25">
      <c r="A27" s="278">
        <v>22000</v>
      </c>
      <c r="B27" s="279" t="s">
        <v>13</v>
      </c>
      <c r="C27" s="280">
        <v>2523</v>
      </c>
      <c r="D27" s="281">
        <f t="shared" si="0"/>
        <v>15516450</v>
      </c>
    </row>
    <row r="28" spans="1:4" x14ac:dyDescent="0.25">
      <c r="A28" s="278">
        <v>23000</v>
      </c>
      <c r="B28" s="279" t="s">
        <v>14</v>
      </c>
      <c r="C28" s="280">
        <v>6618</v>
      </c>
      <c r="D28" s="281">
        <f t="shared" si="0"/>
        <v>40700700</v>
      </c>
    </row>
    <row r="29" spans="1:4" x14ac:dyDescent="0.25">
      <c r="A29" s="278">
        <v>24000</v>
      </c>
      <c r="B29" s="279" t="s">
        <v>15</v>
      </c>
      <c r="C29" s="280">
        <v>2841</v>
      </c>
      <c r="D29" s="281">
        <f t="shared" si="0"/>
        <v>17472150</v>
      </c>
    </row>
    <row r="30" spans="1:4" x14ac:dyDescent="0.25">
      <c r="A30" s="278">
        <v>25000</v>
      </c>
      <c r="B30" s="279" t="s">
        <v>16</v>
      </c>
      <c r="C30" s="280">
        <v>3900</v>
      </c>
      <c r="D30" s="281">
        <f t="shared" si="0"/>
        <v>23985000</v>
      </c>
    </row>
    <row r="31" spans="1:4" x14ac:dyDescent="0.25">
      <c r="A31" s="278">
        <v>26000</v>
      </c>
      <c r="B31" s="279" t="s">
        <v>17</v>
      </c>
      <c r="C31" s="280">
        <v>11984</v>
      </c>
      <c r="D31" s="281">
        <f t="shared" si="0"/>
        <v>73701600</v>
      </c>
    </row>
    <row r="32" spans="1:4" x14ac:dyDescent="0.25">
      <c r="A32" s="278">
        <v>27000</v>
      </c>
      <c r="B32" s="279" t="s">
        <v>18</v>
      </c>
      <c r="C32" s="280">
        <v>6287</v>
      </c>
      <c r="D32" s="281">
        <f t="shared" si="0"/>
        <v>38665050</v>
      </c>
    </row>
    <row r="33" spans="1:5" x14ac:dyDescent="0.25">
      <c r="A33" s="278">
        <v>28000</v>
      </c>
      <c r="B33" s="279" t="s">
        <v>19</v>
      </c>
      <c r="C33" s="280">
        <v>4038</v>
      </c>
      <c r="D33" s="281">
        <f t="shared" si="0"/>
        <v>24833700</v>
      </c>
    </row>
    <row r="34" spans="1:5" x14ac:dyDescent="0.25">
      <c r="A34" s="278">
        <v>31000</v>
      </c>
      <c r="B34" s="279" t="s">
        <v>20</v>
      </c>
      <c r="C34" s="280">
        <v>7130</v>
      </c>
      <c r="D34" s="281">
        <f t="shared" si="0"/>
        <v>43849500</v>
      </c>
    </row>
    <row r="35" spans="1:5" x14ac:dyDescent="0.25">
      <c r="A35" s="278">
        <v>41000</v>
      </c>
      <c r="B35" s="279" t="s">
        <v>21</v>
      </c>
      <c r="C35" s="280">
        <v>8244</v>
      </c>
      <c r="D35" s="281">
        <f t="shared" si="0"/>
        <v>50700600</v>
      </c>
    </row>
    <row r="36" spans="1:5" x14ac:dyDescent="0.25">
      <c r="A36" s="278">
        <v>43000</v>
      </c>
      <c r="B36" s="279" t="s">
        <v>22</v>
      </c>
      <c r="C36" s="280">
        <v>4958</v>
      </c>
      <c r="D36" s="281">
        <f t="shared" si="0"/>
        <v>30491700</v>
      </c>
    </row>
    <row r="37" spans="1:5" x14ac:dyDescent="0.25">
      <c r="A37" s="278">
        <v>51000</v>
      </c>
      <c r="B37" s="279" t="s">
        <v>23</v>
      </c>
      <c r="C37" s="280">
        <v>599</v>
      </c>
      <c r="D37" s="281">
        <f t="shared" si="0"/>
        <v>3683850</v>
      </c>
    </row>
    <row r="38" spans="1:5" x14ac:dyDescent="0.25">
      <c r="A38" s="278">
        <v>52000</v>
      </c>
      <c r="B38" s="279" t="s">
        <v>24</v>
      </c>
      <c r="C38" s="280">
        <v>185</v>
      </c>
      <c r="D38" s="281">
        <f t="shared" si="0"/>
        <v>1137750</v>
      </c>
    </row>
    <row r="39" spans="1:5" x14ac:dyDescent="0.25">
      <c r="A39" s="278">
        <v>53000</v>
      </c>
      <c r="B39" s="279" t="s">
        <v>25</v>
      </c>
      <c r="C39" s="280">
        <v>289</v>
      </c>
      <c r="D39" s="281">
        <f t="shared" si="0"/>
        <v>1777350</v>
      </c>
    </row>
    <row r="40" spans="1:5" x14ac:dyDescent="0.25">
      <c r="A40" s="278">
        <v>54000</v>
      </c>
      <c r="B40" s="279" t="s">
        <v>223</v>
      </c>
      <c r="C40" s="280">
        <v>435</v>
      </c>
      <c r="D40" s="281">
        <f t="shared" si="0"/>
        <v>2675250</v>
      </c>
    </row>
    <row r="41" spans="1:5" x14ac:dyDescent="0.25">
      <c r="A41" s="278">
        <v>55000</v>
      </c>
      <c r="B41" s="279" t="s">
        <v>26</v>
      </c>
      <c r="C41" s="280">
        <v>719</v>
      </c>
      <c r="D41" s="281">
        <f t="shared" si="0"/>
        <v>4421850</v>
      </c>
    </row>
    <row r="42" spans="1:5" ht="15.75" thickBot="1" x14ac:dyDescent="0.3">
      <c r="A42" s="282">
        <v>56000</v>
      </c>
      <c r="B42" s="283" t="s">
        <v>27</v>
      </c>
      <c r="C42" s="284">
        <v>1001</v>
      </c>
      <c r="D42" s="285">
        <f t="shared" si="0"/>
        <v>6156150</v>
      </c>
    </row>
    <row r="43" spans="1:5" ht="15.75" thickBot="1" x14ac:dyDescent="0.3">
      <c r="A43" s="958" t="s">
        <v>254</v>
      </c>
      <c r="B43" s="959"/>
      <c r="C43" s="286">
        <f>SUM(C17:C42)</f>
        <v>144259</v>
      </c>
      <c r="D43" s="287">
        <f>SUM(D17:D42)</f>
        <v>887192850</v>
      </c>
      <c r="E43" s="443"/>
    </row>
    <row r="45" spans="1:5" x14ac:dyDescent="0.25">
      <c r="A45" s="544" t="s">
        <v>209</v>
      </c>
    </row>
  </sheetData>
  <mergeCells count="10">
    <mergeCell ref="D15:D16"/>
    <mergeCell ref="A43:B43"/>
    <mergeCell ref="A7:C7"/>
    <mergeCell ref="A8:C8"/>
    <mergeCell ref="A9:C9"/>
    <mergeCell ref="A10:C10"/>
    <mergeCell ref="A11:C11"/>
    <mergeCell ref="A15:A16"/>
    <mergeCell ref="B15:B16"/>
    <mergeCell ref="C15:C16"/>
  </mergeCells>
  <hyperlinks>
    <hyperlink ref="A45" location="'0 Seznam'!A1" display="Seznam" xr:uid="{96D73B3C-0DE1-4EFC-BDCA-DCA4C332BDBA}"/>
  </hyperlinks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 xml:space="preserve">&amp;LČ. j.: 842/2025-1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I35"/>
  <sheetViews>
    <sheetView zoomScale="85" zoomScaleNormal="85" workbookViewId="0">
      <selection activeCell="B1" sqref="B1"/>
    </sheetView>
  </sheetViews>
  <sheetFormatPr defaultRowHeight="15" x14ac:dyDescent="0.25"/>
  <cols>
    <col min="1" max="1" width="11.140625" customWidth="1"/>
    <col min="2" max="2" width="60.7109375" customWidth="1"/>
    <col min="3" max="4" width="18.28515625" customWidth="1"/>
    <col min="5" max="5" width="9.85546875" customWidth="1"/>
    <col min="6" max="6" width="11.140625" customWidth="1"/>
    <col min="7" max="7" width="60.7109375" customWidth="1"/>
    <col min="8" max="9" width="18.28515625" customWidth="1"/>
  </cols>
  <sheetData>
    <row r="1" spans="1:9" ht="27.75" x14ac:dyDescent="0.25">
      <c r="A1" s="447" t="s">
        <v>147</v>
      </c>
      <c r="B1" s="448"/>
      <c r="C1" s="448"/>
    </row>
    <row r="2" spans="1:9" x14ac:dyDescent="0.25">
      <c r="A2" s="449"/>
      <c r="B2" s="448"/>
      <c r="C2" s="448"/>
    </row>
    <row r="3" spans="1:9" ht="20.25" x14ac:dyDescent="0.25">
      <c r="A3" s="450" t="s">
        <v>257</v>
      </c>
      <c r="B3" s="448"/>
      <c r="C3" s="451"/>
      <c r="F3" s="450" t="s">
        <v>264</v>
      </c>
    </row>
    <row r="4" spans="1:9" x14ac:dyDescent="0.25">
      <c r="A4" s="452"/>
      <c r="B4" s="448"/>
      <c r="C4" s="451"/>
    </row>
    <row r="5" spans="1:9" ht="15.75" thickBot="1" x14ac:dyDescent="0.3">
      <c r="A5" s="453"/>
      <c r="B5" s="453"/>
      <c r="C5" s="454" t="s">
        <v>0</v>
      </c>
    </row>
    <row r="6" spans="1:9" ht="45.75" thickBot="1" x14ac:dyDescent="0.3">
      <c r="A6" s="455" t="s">
        <v>2</v>
      </c>
      <c r="B6" s="456" t="s">
        <v>3</v>
      </c>
      <c r="C6" s="593" t="s">
        <v>29</v>
      </c>
      <c r="D6" s="456" t="s">
        <v>219</v>
      </c>
      <c r="F6" s="455" t="s">
        <v>2</v>
      </c>
      <c r="G6" s="456" t="s">
        <v>3</v>
      </c>
      <c r="H6" s="593" t="s">
        <v>266</v>
      </c>
      <c r="I6" s="456" t="s">
        <v>263</v>
      </c>
    </row>
    <row r="7" spans="1:9" x14ac:dyDescent="0.25">
      <c r="A7" s="457">
        <v>11000</v>
      </c>
      <c r="B7" s="458" t="s">
        <v>4</v>
      </c>
      <c r="C7" s="594">
        <v>0.1832</v>
      </c>
      <c r="D7" s="588">
        <v>226260259</v>
      </c>
      <c r="F7" s="457">
        <v>11000</v>
      </c>
      <c r="G7" s="458" t="s">
        <v>4</v>
      </c>
      <c r="H7" s="789">
        <v>3744688</v>
      </c>
      <c r="I7" s="588">
        <v>952000</v>
      </c>
    </row>
    <row r="8" spans="1:9" x14ac:dyDescent="0.25">
      <c r="A8" s="459">
        <v>12000</v>
      </c>
      <c r="B8" s="458" t="s">
        <v>5</v>
      </c>
      <c r="C8" s="594">
        <v>3.09E-2</v>
      </c>
      <c r="D8" s="588">
        <v>38180113</v>
      </c>
      <c r="F8" s="459">
        <v>12000</v>
      </c>
      <c r="G8" s="458" t="s">
        <v>5</v>
      </c>
      <c r="H8" s="789">
        <v>550590</v>
      </c>
      <c r="I8" s="588">
        <v>435000</v>
      </c>
    </row>
    <row r="9" spans="1:9" x14ac:dyDescent="0.25">
      <c r="A9" s="459">
        <v>13000</v>
      </c>
      <c r="B9" s="458" t="s">
        <v>6</v>
      </c>
      <c r="C9" s="594">
        <v>2.3E-2</v>
      </c>
      <c r="D9" s="588">
        <v>28452218</v>
      </c>
      <c r="F9" s="459">
        <v>13000</v>
      </c>
      <c r="G9" s="458" t="s">
        <v>6</v>
      </c>
      <c r="H9" s="789">
        <v>396650</v>
      </c>
      <c r="I9" s="588">
        <v>502000</v>
      </c>
    </row>
    <row r="10" spans="1:9" x14ac:dyDescent="0.25">
      <c r="A10" s="459">
        <v>14000</v>
      </c>
      <c r="B10" s="458" t="s">
        <v>7</v>
      </c>
      <c r="C10" s="594">
        <v>0.1145</v>
      </c>
      <c r="D10" s="588">
        <v>145621080</v>
      </c>
      <c r="E10" s="11"/>
      <c r="F10" s="459">
        <v>14000</v>
      </c>
      <c r="G10" s="458" t="s">
        <v>7</v>
      </c>
      <c r="H10" s="789">
        <v>845500</v>
      </c>
      <c r="I10" s="588">
        <v>3750000</v>
      </c>
    </row>
    <row r="11" spans="1:9" x14ac:dyDescent="0.25">
      <c r="A11" s="459">
        <v>15000</v>
      </c>
      <c r="B11" s="458" t="s">
        <v>8</v>
      </c>
      <c r="C11" s="594">
        <v>6.5600000000000006E-2</v>
      </c>
      <c r="D11" s="588">
        <v>80999060</v>
      </c>
      <c r="F11" s="459">
        <v>15000</v>
      </c>
      <c r="G11" s="458" t="s">
        <v>8</v>
      </c>
      <c r="H11" s="789">
        <v>916340</v>
      </c>
      <c r="I11" s="588">
        <v>539000</v>
      </c>
    </row>
    <row r="12" spans="1:9" x14ac:dyDescent="0.25">
      <c r="A12" s="459">
        <v>16000</v>
      </c>
      <c r="B12" s="458" t="s">
        <v>218</v>
      </c>
      <c r="C12" s="594">
        <v>1.52E-2</v>
      </c>
      <c r="D12" s="588">
        <v>18728875</v>
      </c>
      <c r="F12" s="459">
        <v>16000</v>
      </c>
      <c r="G12" s="458" t="s">
        <v>218</v>
      </c>
      <c r="H12" s="789">
        <v>330150</v>
      </c>
      <c r="I12" s="588">
        <v>378000</v>
      </c>
    </row>
    <row r="13" spans="1:9" x14ac:dyDescent="0.25">
      <c r="A13" s="459">
        <v>17000</v>
      </c>
      <c r="B13" s="458" t="s">
        <v>9</v>
      </c>
      <c r="C13" s="594">
        <v>2.7300000000000001E-2</v>
      </c>
      <c r="D13" s="588">
        <v>33693164</v>
      </c>
      <c r="F13" s="459">
        <v>17000</v>
      </c>
      <c r="G13" s="458" t="s">
        <v>9</v>
      </c>
      <c r="H13" s="789">
        <v>335750</v>
      </c>
      <c r="I13" s="588">
        <v>519000</v>
      </c>
    </row>
    <row r="14" spans="1:9" x14ac:dyDescent="0.25">
      <c r="A14" s="459">
        <v>18000</v>
      </c>
      <c r="B14" s="458" t="s">
        <v>10</v>
      </c>
      <c r="C14" s="594">
        <v>1.6899999999999998E-2</v>
      </c>
      <c r="D14" s="588">
        <v>20830074</v>
      </c>
      <c r="F14" s="459">
        <v>18000</v>
      </c>
      <c r="G14" s="458" t="s">
        <v>10</v>
      </c>
      <c r="H14" s="789">
        <v>389350</v>
      </c>
      <c r="I14" s="588">
        <v>387000</v>
      </c>
    </row>
    <row r="15" spans="1:9" x14ac:dyDescent="0.25">
      <c r="A15" s="459">
        <v>19000</v>
      </c>
      <c r="B15" s="458" t="s">
        <v>11</v>
      </c>
      <c r="C15" s="594">
        <v>1.4500000000000001E-2</v>
      </c>
      <c r="D15" s="588">
        <v>17963807</v>
      </c>
      <c r="F15" s="459">
        <v>19000</v>
      </c>
      <c r="G15" s="458" t="s">
        <v>11</v>
      </c>
      <c r="H15" s="789">
        <v>353950</v>
      </c>
      <c r="I15" s="588">
        <v>380000</v>
      </c>
    </row>
    <row r="16" spans="1:9" x14ac:dyDescent="0.25">
      <c r="A16" s="459">
        <v>21000</v>
      </c>
      <c r="B16" s="458" t="s">
        <v>12</v>
      </c>
      <c r="C16" s="595">
        <v>8.6400000000000005E-2</v>
      </c>
      <c r="D16" s="589">
        <v>106722283</v>
      </c>
      <c r="F16" s="459">
        <v>21000</v>
      </c>
      <c r="G16" s="458" t="s">
        <v>12</v>
      </c>
      <c r="H16" s="790">
        <v>901280</v>
      </c>
      <c r="I16" s="589">
        <v>628000</v>
      </c>
    </row>
    <row r="17" spans="1:9" x14ac:dyDescent="0.25">
      <c r="A17" s="459">
        <v>22000</v>
      </c>
      <c r="B17" s="458" t="s">
        <v>13</v>
      </c>
      <c r="C17" s="594">
        <v>2.4299999999999999E-2</v>
      </c>
      <c r="D17" s="588">
        <v>30016439</v>
      </c>
      <c r="F17" s="459">
        <v>22000</v>
      </c>
      <c r="G17" s="458" t="s">
        <v>13</v>
      </c>
      <c r="H17" s="789">
        <v>573090</v>
      </c>
      <c r="I17" s="588">
        <v>426000</v>
      </c>
    </row>
    <row r="18" spans="1:9" x14ac:dyDescent="0.25">
      <c r="A18" s="459">
        <v>23000</v>
      </c>
      <c r="B18" s="458" t="s">
        <v>14</v>
      </c>
      <c r="C18" s="594">
        <v>3.7100000000000001E-2</v>
      </c>
      <c r="D18" s="588">
        <v>45827155</v>
      </c>
      <c r="F18" s="459">
        <v>23000</v>
      </c>
      <c r="G18" s="458" t="s">
        <v>14</v>
      </c>
      <c r="H18" s="789">
        <v>329850</v>
      </c>
      <c r="I18" s="588">
        <v>456000</v>
      </c>
    </row>
    <row r="19" spans="1:9" x14ac:dyDescent="0.25">
      <c r="A19" s="459">
        <v>24000</v>
      </c>
      <c r="B19" s="458" t="s">
        <v>15</v>
      </c>
      <c r="C19" s="594">
        <v>2.1399999999999999E-2</v>
      </c>
      <c r="D19" s="588">
        <v>26401801</v>
      </c>
      <c r="F19" s="459">
        <v>24000</v>
      </c>
      <c r="G19" s="458" t="s">
        <v>15</v>
      </c>
      <c r="H19" s="789">
        <v>401850</v>
      </c>
      <c r="I19" s="588">
        <v>408000</v>
      </c>
    </row>
    <row r="20" spans="1:9" x14ac:dyDescent="0.25">
      <c r="A20" s="459">
        <v>25000</v>
      </c>
      <c r="B20" s="458" t="s">
        <v>16</v>
      </c>
      <c r="C20" s="594">
        <v>2.5499999999999998E-2</v>
      </c>
      <c r="D20" s="588">
        <v>31437583</v>
      </c>
      <c r="F20" s="459">
        <v>25000</v>
      </c>
      <c r="G20" s="458" t="s">
        <v>16</v>
      </c>
      <c r="H20" s="789">
        <v>381550</v>
      </c>
      <c r="I20" s="588">
        <v>406000</v>
      </c>
    </row>
    <row r="21" spans="1:9" x14ac:dyDescent="0.25">
      <c r="A21" s="459">
        <v>26000</v>
      </c>
      <c r="B21" s="458" t="s">
        <v>17</v>
      </c>
      <c r="C21" s="594">
        <v>6.8699999999999997E-2</v>
      </c>
      <c r="D21" s="588">
        <v>84790450</v>
      </c>
      <c r="F21" s="459">
        <v>26000</v>
      </c>
      <c r="G21" s="458" t="s">
        <v>17</v>
      </c>
      <c r="H21" s="789">
        <v>840675</v>
      </c>
      <c r="I21" s="588">
        <v>517000</v>
      </c>
    </row>
    <row r="22" spans="1:9" x14ac:dyDescent="0.25">
      <c r="A22" s="459">
        <v>27000</v>
      </c>
      <c r="B22" s="458" t="s">
        <v>18</v>
      </c>
      <c r="C22" s="594">
        <v>4.6100000000000002E-2</v>
      </c>
      <c r="D22" s="588">
        <v>56913700</v>
      </c>
      <c r="F22" s="459">
        <v>27000</v>
      </c>
      <c r="G22" s="458" t="s">
        <v>18</v>
      </c>
      <c r="H22" s="789">
        <v>521870</v>
      </c>
      <c r="I22" s="588">
        <v>458000</v>
      </c>
    </row>
    <row r="23" spans="1:9" x14ac:dyDescent="0.25">
      <c r="A23" s="459">
        <v>28000</v>
      </c>
      <c r="B23" s="458" t="s">
        <v>19</v>
      </c>
      <c r="C23" s="594">
        <v>3.0599999999999999E-2</v>
      </c>
      <c r="D23" s="588">
        <v>37793587</v>
      </c>
      <c r="F23" s="459">
        <v>28000</v>
      </c>
      <c r="G23" s="458" t="s">
        <v>19</v>
      </c>
      <c r="H23" s="789">
        <v>374150</v>
      </c>
      <c r="I23" s="588">
        <v>398000</v>
      </c>
    </row>
    <row r="24" spans="1:9" x14ac:dyDescent="0.25">
      <c r="A24" s="459">
        <v>31000</v>
      </c>
      <c r="B24" s="458" t="s">
        <v>20</v>
      </c>
      <c r="C24" s="594">
        <v>3.5900000000000001E-2</v>
      </c>
      <c r="D24" s="588">
        <v>44355853</v>
      </c>
      <c r="F24" s="459">
        <v>31000</v>
      </c>
      <c r="G24" s="458" t="s">
        <v>20</v>
      </c>
      <c r="H24" s="789">
        <v>368777</v>
      </c>
      <c r="I24" s="588">
        <v>401000</v>
      </c>
    </row>
    <row r="25" spans="1:9" x14ac:dyDescent="0.25">
      <c r="A25" s="459">
        <v>41000</v>
      </c>
      <c r="B25" s="458" t="s">
        <v>21</v>
      </c>
      <c r="C25" s="594">
        <v>5.0599999999999999E-2</v>
      </c>
      <c r="D25" s="588">
        <v>62479503</v>
      </c>
      <c r="F25" s="459">
        <v>41000</v>
      </c>
      <c r="G25" s="458" t="s">
        <v>21</v>
      </c>
      <c r="H25" s="789">
        <v>536190</v>
      </c>
      <c r="I25" s="588">
        <v>433000</v>
      </c>
    </row>
    <row r="26" spans="1:9" x14ac:dyDescent="0.25">
      <c r="A26" s="459">
        <v>43000</v>
      </c>
      <c r="B26" s="458" t="s">
        <v>22</v>
      </c>
      <c r="C26" s="594">
        <v>2.98E-2</v>
      </c>
      <c r="D26" s="588">
        <v>36828863</v>
      </c>
      <c r="F26" s="459">
        <v>43000</v>
      </c>
      <c r="G26" s="458" t="s">
        <v>22</v>
      </c>
      <c r="H26" s="789">
        <v>382850</v>
      </c>
      <c r="I26" s="588">
        <v>438000</v>
      </c>
    </row>
    <row r="27" spans="1:9" x14ac:dyDescent="0.25">
      <c r="A27" s="459">
        <v>51000</v>
      </c>
      <c r="B27" s="460" t="s">
        <v>23</v>
      </c>
      <c r="C27" s="595">
        <v>1.7100000000000001E-2</v>
      </c>
      <c r="D27" s="589">
        <v>21133198</v>
      </c>
      <c r="F27" s="459">
        <v>51000</v>
      </c>
      <c r="G27" s="460" t="s">
        <v>23</v>
      </c>
      <c r="H27" s="790">
        <v>360750</v>
      </c>
      <c r="I27" s="589">
        <v>380000</v>
      </c>
    </row>
    <row r="28" spans="1:9" x14ac:dyDescent="0.25">
      <c r="A28" s="459">
        <v>52000</v>
      </c>
      <c r="B28" s="460" t="s">
        <v>24</v>
      </c>
      <c r="C28" s="595">
        <v>4.7999999999999996E-3</v>
      </c>
      <c r="D28" s="589">
        <v>5867613</v>
      </c>
      <c r="F28" s="459">
        <v>52000</v>
      </c>
      <c r="G28" s="460" t="s">
        <v>24</v>
      </c>
      <c r="H28" s="790">
        <v>385450</v>
      </c>
      <c r="I28" s="589">
        <v>358000</v>
      </c>
    </row>
    <row r="29" spans="1:9" x14ac:dyDescent="0.25">
      <c r="A29" s="459">
        <v>53000</v>
      </c>
      <c r="B29" s="460" t="s">
        <v>25</v>
      </c>
      <c r="C29" s="595">
        <v>6.8999999999999999E-3</v>
      </c>
      <c r="D29" s="589">
        <v>8511521</v>
      </c>
      <c r="F29" s="459">
        <v>53000</v>
      </c>
      <c r="G29" s="460" t="s">
        <v>25</v>
      </c>
      <c r="H29" s="790">
        <v>385450</v>
      </c>
      <c r="I29" s="589">
        <v>359000</v>
      </c>
    </row>
    <row r="30" spans="1:9" x14ac:dyDescent="0.25">
      <c r="A30" s="459">
        <v>54000</v>
      </c>
      <c r="B30" s="460" t="s">
        <v>223</v>
      </c>
      <c r="C30" s="595">
        <v>9.9000000000000008E-3</v>
      </c>
      <c r="D30" s="589">
        <v>12276429</v>
      </c>
      <c r="F30" s="459">
        <v>54000</v>
      </c>
      <c r="G30" s="460" t="s">
        <v>223</v>
      </c>
      <c r="H30" s="790">
        <v>393250</v>
      </c>
      <c r="I30" s="589">
        <v>369000</v>
      </c>
    </row>
    <row r="31" spans="1:9" x14ac:dyDescent="0.25">
      <c r="A31" s="459">
        <v>55000</v>
      </c>
      <c r="B31" s="460" t="s">
        <v>26</v>
      </c>
      <c r="C31" s="595">
        <v>5.8999999999999999E-3</v>
      </c>
      <c r="D31" s="589">
        <v>7297502</v>
      </c>
      <c r="F31" s="459">
        <v>55000</v>
      </c>
      <c r="G31" s="460" t="s">
        <v>26</v>
      </c>
      <c r="H31" s="790">
        <v>0</v>
      </c>
      <c r="I31" s="589">
        <v>359000</v>
      </c>
    </row>
    <row r="32" spans="1:9" ht="15.75" thickBot="1" x14ac:dyDescent="0.3">
      <c r="A32" s="461">
        <v>56000</v>
      </c>
      <c r="B32" s="421" t="s">
        <v>27</v>
      </c>
      <c r="C32" s="596">
        <v>8.0000000000000002E-3</v>
      </c>
      <c r="D32" s="590">
        <v>9850513</v>
      </c>
      <c r="F32" s="461">
        <v>56000</v>
      </c>
      <c r="G32" s="421" t="s">
        <v>27</v>
      </c>
      <c r="H32" s="791">
        <v>0</v>
      </c>
      <c r="I32" s="590">
        <v>364000</v>
      </c>
    </row>
    <row r="33" spans="1:9" ht="15.75" thickBot="1" x14ac:dyDescent="0.3">
      <c r="A33" s="970" t="s">
        <v>28</v>
      </c>
      <c r="B33" s="971"/>
      <c r="C33" s="597">
        <f>SUM(C7:C32)</f>
        <v>1.0001</v>
      </c>
      <c r="D33" s="591">
        <f>SUM(D7:D32)</f>
        <v>1239232643</v>
      </c>
      <c r="F33" s="970" t="s">
        <v>28</v>
      </c>
      <c r="G33" s="971"/>
      <c r="H33" s="792">
        <f>SUM(H7:H32)</f>
        <v>15000000</v>
      </c>
      <c r="I33" s="591">
        <f>SUM(I7:I32)</f>
        <v>15000000</v>
      </c>
    </row>
    <row r="35" spans="1:9" x14ac:dyDescent="0.25">
      <c r="A35" s="544" t="s">
        <v>209</v>
      </c>
    </row>
  </sheetData>
  <mergeCells count="2">
    <mergeCell ref="A33:B33"/>
    <mergeCell ref="F33:G33"/>
  </mergeCells>
  <hyperlinks>
    <hyperlink ref="A35" location="'0 Seznam'!A1" display="Seznam" xr:uid="{94FCE854-8B5C-4802-843A-57FBC76FF195}"/>
  </hyperlinks>
  <pageMargins left="0.70866141732283472" right="0.70866141732283472" top="0.78740157480314965" bottom="0.78740157480314965" header="0.31496062992125984" footer="0.31496062992125984"/>
  <pageSetup paperSize="9" scale="57" orientation="landscape" r:id="rId1"/>
  <headerFooter>
    <oddHeader xml:space="preserve">&amp;LČ. j.: 842/2025-1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L31"/>
  <sheetViews>
    <sheetView zoomScale="85" zoomScaleNormal="85" workbookViewId="0">
      <selection sqref="A1:D1"/>
    </sheetView>
  </sheetViews>
  <sheetFormatPr defaultRowHeight="15" x14ac:dyDescent="0.25"/>
  <cols>
    <col min="1" max="1" width="10.140625" customWidth="1"/>
    <col min="2" max="2" width="50.85546875" bestFit="1" customWidth="1"/>
    <col min="3" max="3" width="15.42578125" customWidth="1"/>
    <col min="4" max="4" width="45.28515625" bestFit="1" customWidth="1"/>
    <col min="5" max="10" width="18.7109375" customWidth="1"/>
    <col min="11" max="13" width="18.140625" customWidth="1"/>
    <col min="15" max="15" width="16.42578125" bestFit="1" customWidth="1"/>
  </cols>
  <sheetData>
    <row r="1" spans="1:12" ht="27.75" customHeight="1" x14ac:dyDescent="0.25">
      <c r="A1" s="972" t="s">
        <v>258</v>
      </c>
      <c r="B1" s="972"/>
      <c r="C1" s="972"/>
      <c r="D1" s="972"/>
    </row>
    <row r="2" spans="1:12" ht="15.75" customHeight="1" x14ac:dyDescent="0.25"/>
    <row r="3" spans="1:12" x14ac:dyDescent="0.25">
      <c r="B3" s="503" t="s">
        <v>175</v>
      </c>
      <c r="C3" s="503" t="s">
        <v>176</v>
      </c>
    </row>
    <row r="4" spans="1:12" x14ac:dyDescent="0.25">
      <c r="B4" s="498" t="s">
        <v>103</v>
      </c>
      <c r="C4" s="504">
        <v>0.75</v>
      </c>
    </row>
    <row r="5" spans="1:12" x14ac:dyDescent="0.25">
      <c r="B5" s="498" t="s">
        <v>177</v>
      </c>
      <c r="C5" s="504">
        <v>0.1</v>
      </c>
    </row>
    <row r="6" spans="1:12" x14ac:dyDescent="0.25">
      <c r="B6" s="498" t="s">
        <v>178</v>
      </c>
      <c r="C6" s="504">
        <v>0.1</v>
      </c>
    </row>
    <row r="7" spans="1:12" x14ac:dyDescent="0.25">
      <c r="B7" s="498" t="s">
        <v>179</v>
      </c>
      <c r="C7" s="504">
        <v>0.05</v>
      </c>
    </row>
    <row r="9" spans="1:12" x14ac:dyDescent="0.25">
      <c r="B9" s="36" t="s">
        <v>259</v>
      </c>
      <c r="C9" s="466">
        <f>'1 Bilance'!O55</f>
        <v>200000000</v>
      </c>
    </row>
    <row r="11" spans="1:12" ht="15.75" thickBot="1" x14ac:dyDescent="0.3"/>
    <row r="12" spans="1:12" ht="45.75" thickBot="1" x14ac:dyDescent="0.3">
      <c r="A12" s="505" t="s">
        <v>2</v>
      </c>
      <c r="B12" s="506" t="s">
        <v>180</v>
      </c>
      <c r="C12" s="506" t="s">
        <v>148</v>
      </c>
      <c r="D12" s="507" t="s">
        <v>181</v>
      </c>
      <c r="E12" s="508" t="s">
        <v>103</v>
      </c>
      <c r="F12" s="509" t="s">
        <v>177</v>
      </c>
      <c r="G12" s="509" t="s">
        <v>178</v>
      </c>
      <c r="H12" s="510" t="s">
        <v>179</v>
      </c>
      <c r="I12" s="508" t="s">
        <v>182</v>
      </c>
      <c r="J12" s="511" t="s">
        <v>122</v>
      </c>
    </row>
    <row r="13" spans="1:12" x14ac:dyDescent="0.25">
      <c r="A13" s="462" t="s">
        <v>183</v>
      </c>
      <c r="B13" s="559" t="s">
        <v>6</v>
      </c>
      <c r="C13" s="512">
        <v>13530</v>
      </c>
      <c r="D13" s="563" t="s">
        <v>184</v>
      </c>
      <c r="E13" s="547">
        <v>5.7049335734429177E-2</v>
      </c>
      <c r="F13" s="548">
        <v>4.7303101343675935E-2</v>
      </c>
      <c r="G13" s="548">
        <v>8.43547077922078E-2</v>
      </c>
      <c r="H13" s="496">
        <v>6.1100743397401805E-2</v>
      </c>
      <c r="I13" s="549">
        <f>$C$4*E13+$C$5*F13+$C$6*G13+$C$7*H13</f>
        <v>5.9007819884280346E-2</v>
      </c>
      <c r="J13" s="497">
        <f>ROUND(I13*$C$9,0)</f>
        <v>11801564</v>
      </c>
      <c r="K13" s="716"/>
      <c r="L13" s="11"/>
    </row>
    <row r="14" spans="1:12" x14ac:dyDescent="0.25">
      <c r="A14" s="463" t="s">
        <v>185</v>
      </c>
      <c r="B14" s="560" t="s">
        <v>9</v>
      </c>
      <c r="C14" s="498">
        <v>17500</v>
      </c>
      <c r="D14" s="564" t="s">
        <v>186</v>
      </c>
      <c r="E14" s="550">
        <v>5.7903365182449484E-2</v>
      </c>
      <c r="F14" s="551">
        <v>5.0652427512741335E-2</v>
      </c>
      <c r="G14" s="551">
        <v>3.4354707792207791E-2</v>
      </c>
      <c r="H14" s="464">
        <v>5.0481294098247691E-2</v>
      </c>
      <c r="I14" s="550">
        <f t="shared" ref="I14:I28" si="0">$C$4*E14+$C$5*F14+$C$6*G14+$C$7*H14</f>
        <v>5.4452302122244417E-2</v>
      </c>
      <c r="J14" s="424">
        <f t="shared" ref="J14:J28" si="1">ROUND(I14*$C$9,0)</f>
        <v>10890460</v>
      </c>
      <c r="K14" s="716"/>
      <c r="L14" s="11"/>
    </row>
    <row r="15" spans="1:12" ht="15" customHeight="1" x14ac:dyDescent="0.25">
      <c r="A15" s="463" t="s">
        <v>187</v>
      </c>
      <c r="B15" s="560" t="s">
        <v>12</v>
      </c>
      <c r="C15" s="498">
        <v>21450</v>
      </c>
      <c r="D15" s="564" t="s">
        <v>188</v>
      </c>
      <c r="E15" s="550">
        <v>9.0857597898275286E-2</v>
      </c>
      <c r="F15" s="551">
        <v>0.11981564645254916</v>
      </c>
      <c r="G15" s="551">
        <v>0.13508522727272726</v>
      </c>
      <c r="H15" s="464">
        <v>2.9983162479348416E-2</v>
      </c>
      <c r="I15" s="550">
        <f t="shared" si="0"/>
        <v>9.5132443920201523E-2</v>
      </c>
      <c r="J15" s="424">
        <f>ROUND(I15*$C$9,0)</f>
        <v>19026489</v>
      </c>
      <c r="K15" s="716"/>
      <c r="L15" s="11"/>
    </row>
    <row r="16" spans="1:12" ht="15" customHeight="1" x14ac:dyDescent="0.25">
      <c r="A16" s="463" t="s">
        <v>189</v>
      </c>
      <c r="B16" s="560" t="s">
        <v>14</v>
      </c>
      <c r="C16" s="498">
        <v>23410</v>
      </c>
      <c r="D16" s="564" t="s">
        <v>190</v>
      </c>
      <c r="E16" s="550">
        <v>8.0412993686383868E-2</v>
      </c>
      <c r="F16" s="551">
        <v>4.6529820413038714E-2</v>
      </c>
      <c r="G16" s="551">
        <v>0</v>
      </c>
      <c r="H16" s="464">
        <v>2.9202513637013559E-2</v>
      </c>
      <c r="I16" s="550">
        <f t="shared" si="0"/>
        <v>6.6422852987942455E-2</v>
      </c>
      <c r="J16" s="424">
        <f>ROUND(I16*$C$9-0.2,0)</f>
        <v>13284570</v>
      </c>
      <c r="K16" s="716"/>
      <c r="L16" s="11"/>
    </row>
    <row r="17" spans="1:12" ht="15" customHeight="1" x14ac:dyDescent="0.25">
      <c r="A17" s="463" t="s">
        <v>191</v>
      </c>
      <c r="B17" s="560" t="s">
        <v>15</v>
      </c>
      <c r="C17" s="498">
        <v>24520</v>
      </c>
      <c r="D17" s="564" t="s">
        <v>192</v>
      </c>
      <c r="E17" s="550">
        <v>9.7524591613014407E-3</v>
      </c>
      <c r="F17" s="551">
        <v>1.7194710653742597E-2</v>
      </c>
      <c r="G17" s="551">
        <v>2.7333603896103897E-2</v>
      </c>
      <c r="H17" s="464">
        <v>4.6426638204851309E-2</v>
      </c>
      <c r="I17" s="550">
        <f t="shared" si="0"/>
        <v>1.4088507736203296E-2</v>
      </c>
      <c r="J17" s="424">
        <f t="shared" si="1"/>
        <v>2817702</v>
      </c>
      <c r="K17" s="716"/>
      <c r="L17" s="11"/>
    </row>
    <row r="18" spans="1:12" ht="15" customHeight="1" x14ac:dyDescent="0.25">
      <c r="A18" s="463" t="s">
        <v>193</v>
      </c>
      <c r="B18" s="560" t="s">
        <v>16</v>
      </c>
      <c r="C18" s="498">
        <v>25110</v>
      </c>
      <c r="D18" s="564" t="s">
        <v>194</v>
      </c>
      <c r="E18" s="550">
        <v>4.7872565728342177E-3</v>
      </c>
      <c r="F18" s="551">
        <v>7.0732914329648044E-3</v>
      </c>
      <c r="G18" s="551">
        <v>0</v>
      </c>
      <c r="H18" s="464">
        <v>8.256830068417334E-2</v>
      </c>
      <c r="I18" s="550">
        <f t="shared" si="0"/>
        <v>8.4261866071308096E-3</v>
      </c>
      <c r="J18" s="424">
        <f t="shared" si="1"/>
        <v>1685237</v>
      </c>
      <c r="K18" s="716"/>
      <c r="L18" s="11"/>
    </row>
    <row r="19" spans="1:12" ht="15" customHeight="1" x14ac:dyDescent="0.25">
      <c r="A19" s="463" t="s">
        <v>195</v>
      </c>
      <c r="B19" s="560" t="s">
        <v>17</v>
      </c>
      <c r="C19" s="498">
        <v>26410</v>
      </c>
      <c r="D19" s="564" t="s">
        <v>188</v>
      </c>
      <c r="E19" s="550">
        <v>2.2661513792634227E-2</v>
      </c>
      <c r="F19" s="551">
        <v>3.561101445852332E-2</v>
      </c>
      <c r="G19" s="551">
        <v>3.2792207792207789E-2</v>
      </c>
      <c r="H19" s="464">
        <v>3.0042713892102692E-2</v>
      </c>
      <c r="I19" s="550">
        <f t="shared" si="0"/>
        <v>2.5338593264153917E-2</v>
      </c>
      <c r="J19" s="424">
        <f t="shared" si="1"/>
        <v>5067719</v>
      </c>
      <c r="K19" s="716"/>
      <c r="L19" s="11"/>
    </row>
    <row r="20" spans="1:12" ht="15" customHeight="1" x14ac:dyDescent="0.25">
      <c r="A20" s="463" t="s">
        <v>195</v>
      </c>
      <c r="B20" s="560" t="s">
        <v>17</v>
      </c>
      <c r="C20" s="498">
        <v>26420</v>
      </c>
      <c r="D20" s="564" t="s">
        <v>196</v>
      </c>
      <c r="E20" s="550">
        <v>0.10726156828337836</v>
      </c>
      <c r="F20" s="551">
        <v>4.3752418647107987E-2</v>
      </c>
      <c r="G20" s="551">
        <v>8.2731331168831163E-2</v>
      </c>
      <c r="H20" s="464">
        <v>5.4382481888907645E-2</v>
      </c>
      <c r="I20" s="550">
        <f t="shared" si="0"/>
        <v>9.5813675288573083E-2</v>
      </c>
      <c r="J20" s="424">
        <f t="shared" si="1"/>
        <v>19162735</v>
      </c>
      <c r="K20" s="716"/>
      <c r="L20" s="11"/>
    </row>
    <row r="21" spans="1:12" ht="15" customHeight="1" x14ac:dyDescent="0.25">
      <c r="A21" s="463" t="s">
        <v>197</v>
      </c>
      <c r="B21" s="560" t="s">
        <v>19</v>
      </c>
      <c r="C21" s="498">
        <v>28130</v>
      </c>
      <c r="D21" s="564" t="s">
        <v>198</v>
      </c>
      <c r="E21" s="550">
        <v>5.680272281888539E-2</v>
      </c>
      <c r="F21" s="551">
        <v>5.0817388366564596E-2</v>
      </c>
      <c r="G21" s="551">
        <v>0.11702516233766233</v>
      </c>
      <c r="H21" s="464">
        <v>2.5774239867855844E-2</v>
      </c>
      <c r="I21" s="550">
        <f t="shared" si="0"/>
        <v>6.0675009177979529E-2</v>
      </c>
      <c r="J21" s="424">
        <f t="shared" si="1"/>
        <v>12135002</v>
      </c>
      <c r="K21" s="716"/>
      <c r="L21" s="11"/>
    </row>
    <row r="22" spans="1:12" ht="15" customHeight="1" x14ac:dyDescent="0.25">
      <c r="A22" s="463" t="s">
        <v>199</v>
      </c>
      <c r="B22" s="560" t="s">
        <v>23</v>
      </c>
      <c r="C22" s="498">
        <v>51110</v>
      </c>
      <c r="D22" s="564" t="s">
        <v>200</v>
      </c>
      <c r="E22" s="550">
        <v>0.12721817654992304</v>
      </c>
      <c r="F22" s="551">
        <v>0.13543452326167493</v>
      </c>
      <c r="G22" s="551">
        <v>0.11710633116883117</v>
      </c>
      <c r="H22" s="464">
        <v>8.8543656532294346E-2</v>
      </c>
      <c r="I22" s="550">
        <f t="shared" si="0"/>
        <v>0.1250949006821076</v>
      </c>
      <c r="J22" s="424">
        <f t="shared" si="1"/>
        <v>25018980</v>
      </c>
      <c r="K22" s="716"/>
      <c r="L22" s="11"/>
    </row>
    <row r="23" spans="1:12" ht="15" customHeight="1" x14ac:dyDescent="0.25">
      <c r="A23" s="463" t="s">
        <v>199</v>
      </c>
      <c r="B23" s="560" t="s">
        <v>23</v>
      </c>
      <c r="C23" s="498">
        <v>51210</v>
      </c>
      <c r="D23" s="564" t="s">
        <v>201</v>
      </c>
      <c r="E23" s="550">
        <v>4.2347163806322884E-2</v>
      </c>
      <c r="F23" s="551">
        <v>8.3201547742153062E-2</v>
      </c>
      <c r="G23" s="551">
        <v>6.6314935064935063E-2</v>
      </c>
      <c r="H23" s="464">
        <v>8.006259424264095E-2</v>
      </c>
      <c r="I23" s="550">
        <f t="shared" si="0"/>
        <v>5.0715150847583025E-2</v>
      </c>
      <c r="J23" s="424">
        <f t="shared" si="1"/>
        <v>10143030</v>
      </c>
      <c r="K23" s="716"/>
      <c r="L23" s="11"/>
    </row>
    <row r="24" spans="1:12" ht="15" customHeight="1" x14ac:dyDescent="0.25">
      <c r="A24" s="463" t="s">
        <v>199</v>
      </c>
      <c r="B24" s="560" t="s">
        <v>23</v>
      </c>
      <c r="C24" s="498">
        <v>51310</v>
      </c>
      <c r="D24" s="564" t="s">
        <v>202</v>
      </c>
      <c r="E24" s="550">
        <v>4.9884241256560123E-2</v>
      </c>
      <c r="F24" s="551">
        <v>7.6534608710496221E-2</v>
      </c>
      <c r="G24" s="551">
        <v>2.1854707792207793E-2</v>
      </c>
      <c r="H24" s="464">
        <v>7.4884821233479865E-2</v>
      </c>
      <c r="I24" s="550">
        <f t="shared" si="0"/>
        <v>5.0996353654364487E-2</v>
      </c>
      <c r="J24" s="424">
        <f t="shared" si="1"/>
        <v>10199271</v>
      </c>
      <c r="K24" s="716"/>
      <c r="L24" s="11"/>
    </row>
    <row r="25" spans="1:12" ht="15" customHeight="1" x14ac:dyDescent="0.25">
      <c r="A25" s="463" t="s">
        <v>203</v>
      </c>
      <c r="B25" s="560" t="s">
        <v>24</v>
      </c>
      <c r="C25" s="498">
        <v>52900</v>
      </c>
      <c r="D25" s="564" t="s">
        <v>204</v>
      </c>
      <c r="E25" s="550">
        <v>7.4581292086882731E-2</v>
      </c>
      <c r="F25" s="551">
        <v>3.9206280205994183E-2</v>
      </c>
      <c r="G25" s="551">
        <v>4.4480519480519475E-2</v>
      </c>
      <c r="H25" s="464">
        <v>8.2672625259187463E-2</v>
      </c>
      <c r="I25" s="550">
        <f t="shared" si="0"/>
        <v>6.8438280296772791E-2</v>
      </c>
      <c r="J25" s="424">
        <f>ROUND(I25*$C$9-0.1,0)</f>
        <v>13687656</v>
      </c>
      <c r="K25" s="716"/>
      <c r="L25" s="11"/>
    </row>
    <row r="26" spans="1:12" ht="15" customHeight="1" x14ac:dyDescent="0.25">
      <c r="A26" s="463" t="s">
        <v>205</v>
      </c>
      <c r="B26" s="560" t="s">
        <v>25</v>
      </c>
      <c r="C26" s="498">
        <v>53900</v>
      </c>
      <c r="D26" s="564" t="s">
        <v>204</v>
      </c>
      <c r="E26" s="550">
        <v>9.3928299264937926E-2</v>
      </c>
      <c r="F26" s="551">
        <v>5.2743741500279467E-2</v>
      </c>
      <c r="G26" s="551">
        <v>0.11948051948051948</v>
      </c>
      <c r="H26" s="464">
        <v>6.2293423550169036E-2</v>
      </c>
      <c r="I26" s="550">
        <f t="shared" si="0"/>
        <v>9.0783321724291779E-2</v>
      </c>
      <c r="J26" s="424">
        <f t="shared" si="1"/>
        <v>18156664</v>
      </c>
      <c r="K26" s="716"/>
      <c r="L26" s="11"/>
    </row>
    <row r="27" spans="1:12" ht="15" customHeight="1" x14ac:dyDescent="0.25">
      <c r="A27" s="465" t="s">
        <v>206</v>
      </c>
      <c r="B27" s="561" t="s">
        <v>223</v>
      </c>
      <c r="C27" s="513">
        <v>54510</v>
      </c>
      <c r="D27" s="565" t="s">
        <v>207</v>
      </c>
      <c r="E27" s="550">
        <v>8.7416914847135513E-2</v>
      </c>
      <c r="F27" s="551">
        <v>0.12863537413908421</v>
      </c>
      <c r="G27" s="551">
        <v>8.3522727272727276E-2</v>
      </c>
      <c r="H27" s="464">
        <v>0.11209824341157665</v>
      </c>
      <c r="I27" s="550">
        <f t="shared" si="0"/>
        <v>9.2383408447111598E-2</v>
      </c>
      <c r="J27" s="424">
        <f t="shared" si="1"/>
        <v>18476682</v>
      </c>
      <c r="K27" s="716"/>
      <c r="L27" s="11"/>
    </row>
    <row r="28" spans="1:12" ht="15.75" customHeight="1" thickBot="1" x14ac:dyDescent="0.3">
      <c r="A28" s="467" t="s">
        <v>206</v>
      </c>
      <c r="B28" s="562" t="s">
        <v>223</v>
      </c>
      <c r="C28" s="499">
        <v>54530</v>
      </c>
      <c r="D28" s="566" t="s">
        <v>201</v>
      </c>
      <c r="E28" s="552">
        <v>3.7135099057666099E-2</v>
      </c>
      <c r="F28" s="553">
        <v>6.5494105159409455E-2</v>
      </c>
      <c r="G28" s="553">
        <v>3.3563311688311684E-2</v>
      </c>
      <c r="H28" s="500">
        <v>8.9482547620749364E-2</v>
      </c>
      <c r="I28" s="552">
        <f t="shared" si="0"/>
        <v>4.2231193359059158E-2</v>
      </c>
      <c r="J28" s="501">
        <f t="shared" si="1"/>
        <v>8446239</v>
      </c>
      <c r="K28" s="716"/>
      <c r="L28" s="11"/>
    </row>
    <row r="29" spans="1:12" ht="15.75" customHeight="1" thickBot="1" x14ac:dyDescent="0.3">
      <c r="A29" s="973" t="s">
        <v>110</v>
      </c>
      <c r="B29" s="974"/>
      <c r="C29" s="974"/>
      <c r="D29" s="974"/>
      <c r="E29" s="554">
        <f>SUM(E13:E28)</f>
        <v>0.99999999999999978</v>
      </c>
      <c r="F29" s="555">
        <f t="shared" ref="F29:J29" si="2">SUM(F13:F28)</f>
        <v>1</v>
      </c>
      <c r="G29" s="555">
        <f t="shared" si="2"/>
        <v>0.99999999999999989</v>
      </c>
      <c r="H29" s="556">
        <f t="shared" si="2"/>
        <v>0.99999999999999989</v>
      </c>
      <c r="I29" s="557">
        <f t="shared" si="2"/>
        <v>0.99999999999999989</v>
      </c>
      <c r="J29" s="558">
        <f t="shared" si="2"/>
        <v>200000000</v>
      </c>
    </row>
    <row r="31" spans="1:12" ht="15" customHeight="1" x14ac:dyDescent="0.25">
      <c r="A31" s="544" t="s">
        <v>209</v>
      </c>
    </row>
  </sheetData>
  <mergeCells count="2">
    <mergeCell ref="A1:D1"/>
    <mergeCell ref="A29:D29"/>
  </mergeCells>
  <hyperlinks>
    <hyperlink ref="A31" location="'0 Seznam'!A1" display="Seznam" xr:uid="{A491B748-68D3-42EC-9BD0-06650C97EF5B}"/>
  </hyperlinks>
  <pageMargins left="0.70866141732283472" right="0.70866141732283472" top="0.78740157480314965" bottom="0.78740157480314965" header="0.31496062992125984" footer="0.31496062992125984"/>
  <pageSetup paperSize="8" scale="82" orientation="landscape" r:id="rId1"/>
  <headerFooter>
    <oddHeader xml:space="preserve">&amp;LČ. j.: 842/2025-1
</oddHeader>
  </headerFooter>
  <ignoredErrors>
    <ignoredError sqref="J2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G39"/>
  <sheetViews>
    <sheetView zoomScale="85" zoomScaleNormal="85" workbookViewId="0">
      <selection sqref="A1:E1"/>
    </sheetView>
  </sheetViews>
  <sheetFormatPr defaultRowHeight="15" x14ac:dyDescent="0.25"/>
  <cols>
    <col min="1" max="1" width="11.140625" customWidth="1"/>
    <col min="2" max="2" width="61.85546875" customWidth="1"/>
    <col min="3" max="5" width="15.7109375" customWidth="1"/>
    <col min="7" max="7" width="14.5703125" customWidth="1"/>
  </cols>
  <sheetData>
    <row r="1" spans="1:7" ht="27.75" customHeight="1" x14ac:dyDescent="0.25">
      <c r="A1" s="972" t="s">
        <v>123</v>
      </c>
      <c r="B1" s="972"/>
      <c r="C1" s="972"/>
      <c r="D1" s="972"/>
      <c r="E1" s="972"/>
    </row>
    <row r="2" spans="1:7" ht="15.75" x14ac:dyDescent="0.25">
      <c r="A2" s="378"/>
      <c r="B2" s="378"/>
      <c r="C2" s="378"/>
      <c r="D2" s="378"/>
      <c r="E2" s="378"/>
    </row>
    <row r="3" spans="1:7" ht="47.25" customHeight="1" x14ac:dyDescent="0.25">
      <c r="A3" s="977" t="s">
        <v>260</v>
      </c>
      <c r="B3" s="977"/>
      <c r="C3" s="977"/>
      <c r="D3" s="977"/>
      <c r="E3" s="977"/>
    </row>
    <row r="4" spans="1:7" x14ac:dyDescent="0.25">
      <c r="A4" s="379"/>
      <c r="B4" s="379"/>
      <c r="C4" s="379"/>
      <c r="D4" s="379"/>
      <c r="E4" s="379"/>
    </row>
    <row r="5" spans="1:7" x14ac:dyDescent="0.25">
      <c r="A5" s="380" t="s">
        <v>124</v>
      </c>
      <c r="B5" s="381"/>
      <c r="C5" s="381"/>
      <c r="D5" s="382"/>
      <c r="E5" s="383">
        <v>25000000</v>
      </c>
    </row>
    <row r="6" spans="1:7" x14ac:dyDescent="0.25">
      <c r="A6" s="380" t="s">
        <v>125</v>
      </c>
      <c r="B6" s="381"/>
      <c r="C6" s="381"/>
      <c r="D6" s="382"/>
      <c r="E6" s="384">
        <f>E5/D37</f>
        <v>25.697012552484921</v>
      </c>
    </row>
    <row r="7" spans="1:7" x14ac:dyDescent="0.25">
      <c r="A7" s="385"/>
      <c r="B7" s="385"/>
      <c r="C7" s="385"/>
      <c r="D7" s="385"/>
      <c r="E7" s="386"/>
    </row>
    <row r="8" spans="1:7" ht="15.75" thickBot="1" x14ac:dyDescent="0.3">
      <c r="A8" s="387"/>
      <c r="B8" s="387"/>
      <c r="C8" s="387"/>
      <c r="D8" s="387"/>
      <c r="E8" s="388" t="s">
        <v>0</v>
      </c>
    </row>
    <row r="9" spans="1:7" x14ac:dyDescent="0.25">
      <c r="A9" s="978" t="s">
        <v>2</v>
      </c>
      <c r="B9" s="980" t="s">
        <v>3</v>
      </c>
      <c r="C9" s="982" t="s">
        <v>126</v>
      </c>
      <c r="D9" s="983"/>
      <c r="E9" s="984" t="s">
        <v>230</v>
      </c>
    </row>
    <row r="10" spans="1:7" ht="45.75" thickBot="1" x14ac:dyDescent="0.3">
      <c r="A10" s="979"/>
      <c r="B10" s="981"/>
      <c r="C10" s="389" t="s">
        <v>127</v>
      </c>
      <c r="D10" s="390" t="s">
        <v>128</v>
      </c>
      <c r="E10" s="985"/>
    </row>
    <row r="11" spans="1:7" x14ac:dyDescent="0.25">
      <c r="A11" s="391">
        <v>11000</v>
      </c>
      <c r="B11" s="392" t="s">
        <v>4</v>
      </c>
      <c r="C11" s="393">
        <v>6653</v>
      </c>
      <c r="D11" s="394">
        <v>180474.30799999999</v>
      </c>
      <c r="E11" s="395">
        <f>ROUND(D11*$E$6,-3)</f>
        <v>4638000</v>
      </c>
      <c r="G11" s="541"/>
    </row>
    <row r="12" spans="1:7" x14ac:dyDescent="0.25">
      <c r="A12" s="396">
        <v>12000</v>
      </c>
      <c r="B12" s="397" t="s">
        <v>5</v>
      </c>
      <c r="C12" s="398">
        <v>1061</v>
      </c>
      <c r="D12" s="399">
        <v>23645.968000000001</v>
      </c>
      <c r="E12" s="395">
        <f>ROUND(D12*$E$6,-3)</f>
        <v>608000</v>
      </c>
      <c r="G12" s="11"/>
    </row>
    <row r="13" spans="1:7" x14ac:dyDescent="0.25">
      <c r="A13" s="396">
        <v>13000</v>
      </c>
      <c r="B13" s="397" t="s">
        <v>6</v>
      </c>
      <c r="C13" s="398">
        <v>2823</v>
      </c>
      <c r="D13" s="399">
        <v>45734.536</v>
      </c>
      <c r="E13" s="395">
        <f t="shared" ref="E13:E36" si="0">ROUND(D13*$E$6,-3)</f>
        <v>1175000</v>
      </c>
      <c r="G13" s="11"/>
    </row>
    <row r="14" spans="1:7" x14ac:dyDescent="0.25">
      <c r="A14" s="396">
        <v>14000</v>
      </c>
      <c r="B14" s="397" t="s">
        <v>7</v>
      </c>
      <c r="C14" s="398">
        <v>4548</v>
      </c>
      <c r="D14" s="399">
        <v>59986.447999999997</v>
      </c>
      <c r="E14" s="395">
        <f t="shared" si="0"/>
        <v>1541000</v>
      </c>
      <c r="G14" s="11"/>
    </row>
    <row r="15" spans="1:7" x14ac:dyDescent="0.25">
      <c r="A15" s="396">
        <v>15000</v>
      </c>
      <c r="B15" s="397" t="s">
        <v>8</v>
      </c>
      <c r="C15" s="398">
        <v>2051</v>
      </c>
      <c r="D15" s="399">
        <v>41942.536</v>
      </c>
      <c r="E15" s="395">
        <f t="shared" si="0"/>
        <v>1078000</v>
      </c>
      <c r="G15" s="11"/>
    </row>
    <row r="16" spans="1:7" x14ac:dyDescent="0.25">
      <c r="A16" s="396">
        <v>16000</v>
      </c>
      <c r="B16" s="397" t="s">
        <v>218</v>
      </c>
      <c r="C16" s="398">
        <v>131</v>
      </c>
      <c r="D16" s="399">
        <v>1892.3520000000001</v>
      </c>
      <c r="E16" s="395">
        <f t="shared" si="0"/>
        <v>49000</v>
      </c>
      <c r="G16" s="11"/>
    </row>
    <row r="17" spans="1:7" x14ac:dyDescent="0.25">
      <c r="A17" s="396">
        <v>17000</v>
      </c>
      <c r="B17" s="397" t="s">
        <v>9</v>
      </c>
      <c r="C17" s="398">
        <v>2449</v>
      </c>
      <c r="D17" s="399">
        <v>53551.892</v>
      </c>
      <c r="E17" s="395">
        <f t="shared" si="0"/>
        <v>1376000</v>
      </c>
      <c r="G17" s="11"/>
    </row>
    <row r="18" spans="1:7" x14ac:dyDescent="0.25">
      <c r="A18" s="396">
        <v>18000</v>
      </c>
      <c r="B18" s="397" t="s">
        <v>10</v>
      </c>
      <c r="C18" s="398">
        <v>1111</v>
      </c>
      <c r="D18" s="399">
        <v>21181.439999999999</v>
      </c>
      <c r="E18" s="395">
        <f t="shared" si="0"/>
        <v>544000</v>
      </c>
      <c r="G18" s="11"/>
    </row>
    <row r="19" spans="1:7" x14ac:dyDescent="0.25">
      <c r="A19" s="396">
        <v>19000</v>
      </c>
      <c r="B19" s="397" t="s">
        <v>11</v>
      </c>
      <c r="C19" s="398">
        <v>940</v>
      </c>
      <c r="D19" s="399">
        <v>35739.1</v>
      </c>
      <c r="E19" s="395">
        <f t="shared" si="0"/>
        <v>918000</v>
      </c>
      <c r="G19" s="11"/>
    </row>
    <row r="20" spans="1:7" x14ac:dyDescent="0.25">
      <c r="A20" s="396">
        <v>21000</v>
      </c>
      <c r="B20" s="397" t="s">
        <v>12</v>
      </c>
      <c r="C20" s="398">
        <v>1709</v>
      </c>
      <c r="D20" s="399">
        <v>47934.7</v>
      </c>
      <c r="E20" s="395">
        <f>ROUND(D20*$E$6,-3)</f>
        <v>1232000</v>
      </c>
      <c r="G20" s="11"/>
    </row>
    <row r="21" spans="1:7" x14ac:dyDescent="0.25">
      <c r="A21" s="396">
        <v>22000</v>
      </c>
      <c r="B21" s="397" t="s">
        <v>13</v>
      </c>
      <c r="C21" s="398">
        <v>264</v>
      </c>
      <c r="D21" s="399">
        <v>9057.2999999999993</v>
      </c>
      <c r="E21" s="395">
        <f>ROUND(D21*$E$6,-3)</f>
        <v>233000</v>
      </c>
      <c r="G21" s="11"/>
    </row>
    <row r="22" spans="1:7" x14ac:dyDescent="0.25">
      <c r="A22" s="396">
        <v>23000</v>
      </c>
      <c r="B22" s="397" t="s">
        <v>14</v>
      </c>
      <c r="C22" s="398">
        <v>5025</v>
      </c>
      <c r="D22" s="399">
        <v>90742.923999999999</v>
      </c>
      <c r="E22" s="395">
        <f t="shared" si="0"/>
        <v>2332000</v>
      </c>
      <c r="G22" s="11"/>
    </row>
    <row r="23" spans="1:7" x14ac:dyDescent="0.25">
      <c r="A23" s="396">
        <v>24000</v>
      </c>
      <c r="B23" s="397" t="s">
        <v>15</v>
      </c>
      <c r="C23" s="398">
        <v>1783</v>
      </c>
      <c r="D23" s="399">
        <v>49101.919999999998</v>
      </c>
      <c r="E23" s="395">
        <f t="shared" si="0"/>
        <v>1262000</v>
      </c>
      <c r="G23" s="11"/>
    </row>
    <row r="24" spans="1:7" x14ac:dyDescent="0.25">
      <c r="A24" s="396">
        <v>25000</v>
      </c>
      <c r="B24" s="397" t="s">
        <v>16</v>
      </c>
      <c r="C24" s="398">
        <v>1134</v>
      </c>
      <c r="D24" s="399">
        <v>27566.1</v>
      </c>
      <c r="E24" s="395">
        <f t="shared" si="0"/>
        <v>708000</v>
      </c>
      <c r="G24" s="11"/>
    </row>
    <row r="25" spans="1:7" x14ac:dyDescent="0.25">
      <c r="A25" s="396">
        <v>26000</v>
      </c>
      <c r="B25" s="397" t="s">
        <v>17</v>
      </c>
      <c r="C25" s="398">
        <v>2235</v>
      </c>
      <c r="D25" s="399">
        <v>37317.951999999997</v>
      </c>
      <c r="E25" s="395">
        <f t="shared" si="0"/>
        <v>959000</v>
      </c>
      <c r="G25" s="11"/>
    </row>
    <row r="26" spans="1:7" x14ac:dyDescent="0.25">
      <c r="A26" s="396">
        <v>27000</v>
      </c>
      <c r="B26" s="397" t="s">
        <v>18</v>
      </c>
      <c r="C26" s="398">
        <v>464</v>
      </c>
      <c r="D26" s="399">
        <v>12763.6</v>
      </c>
      <c r="E26" s="395">
        <f t="shared" si="0"/>
        <v>328000</v>
      </c>
      <c r="G26" s="11"/>
    </row>
    <row r="27" spans="1:7" x14ac:dyDescent="0.25">
      <c r="A27" s="396">
        <v>28000</v>
      </c>
      <c r="B27" s="397" t="s">
        <v>19</v>
      </c>
      <c r="C27" s="398">
        <v>1028</v>
      </c>
      <c r="D27" s="399">
        <v>39852.612000000001</v>
      </c>
      <c r="E27" s="395">
        <f>ROUND(D27*$E$6,-3)</f>
        <v>1024000</v>
      </c>
      <c r="G27" s="11"/>
    </row>
    <row r="28" spans="1:7" x14ac:dyDescent="0.25">
      <c r="A28" s="396">
        <v>31000</v>
      </c>
      <c r="B28" s="397" t="s">
        <v>20</v>
      </c>
      <c r="C28" s="398">
        <v>2545</v>
      </c>
      <c r="D28" s="399">
        <v>60634.447999999997</v>
      </c>
      <c r="E28" s="395">
        <f>ROUND(D28*$E$6,-3)</f>
        <v>1558000</v>
      </c>
      <c r="G28" s="11"/>
    </row>
    <row r="29" spans="1:7" x14ac:dyDescent="0.25">
      <c r="A29" s="396">
        <v>41000</v>
      </c>
      <c r="B29" s="397" t="s">
        <v>21</v>
      </c>
      <c r="C29" s="398">
        <v>15563</v>
      </c>
      <c r="D29" s="399">
        <v>39143.699999999997</v>
      </c>
      <c r="E29" s="395">
        <f t="shared" si="0"/>
        <v>1006000</v>
      </c>
      <c r="G29" s="11"/>
    </row>
    <row r="30" spans="1:7" x14ac:dyDescent="0.25">
      <c r="A30" s="396">
        <v>43000</v>
      </c>
      <c r="B30" s="397" t="s">
        <v>22</v>
      </c>
      <c r="C30" s="398">
        <v>1435</v>
      </c>
      <c r="D30" s="399">
        <v>69587.899999999994</v>
      </c>
      <c r="E30" s="395">
        <f>ROUND(D30*$E$6,-3)</f>
        <v>1788000</v>
      </c>
      <c r="G30" s="11"/>
    </row>
    <row r="31" spans="1:7" x14ac:dyDescent="0.25">
      <c r="A31" s="396">
        <v>51000</v>
      </c>
      <c r="B31" s="397" t="s">
        <v>23</v>
      </c>
      <c r="C31" s="400">
        <v>0</v>
      </c>
      <c r="D31" s="401">
        <v>0</v>
      </c>
      <c r="E31" s="402">
        <f t="shared" si="0"/>
        <v>0</v>
      </c>
      <c r="G31" s="11"/>
    </row>
    <row r="32" spans="1:7" x14ac:dyDescent="0.25">
      <c r="A32" s="396">
        <v>52000</v>
      </c>
      <c r="B32" s="397" t="s">
        <v>24</v>
      </c>
      <c r="C32" s="400">
        <v>0</v>
      </c>
      <c r="D32" s="401">
        <v>0</v>
      </c>
      <c r="E32" s="402">
        <f t="shared" si="0"/>
        <v>0</v>
      </c>
      <c r="G32" s="11"/>
    </row>
    <row r="33" spans="1:7" x14ac:dyDescent="0.25">
      <c r="A33" s="396">
        <v>53000</v>
      </c>
      <c r="B33" s="397" t="s">
        <v>25</v>
      </c>
      <c r="C33" s="400">
        <v>0</v>
      </c>
      <c r="D33" s="401">
        <v>0</v>
      </c>
      <c r="E33" s="402">
        <f t="shared" si="0"/>
        <v>0</v>
      </c>
      <c r="G33" s="11"/>
    </row>
    <row r="34" spans="1:7" x14ac:dyDescent="0.25">
      <c r="A34" s="396">
        <v>54000</v>
      </c>
      <c r="B34" s="397" t="s">
        <v>223</v>
      </c>
      <c r="C34" s="400">
        <v>197</v>
      </c>
      <c r="D34" s="401">
        <v>4545.6000000000004</v>
      </c>
      <c r="E34" s="395">
        <f t="shared" si="0"/>
        <v>117000</v>
      </c>
      <c r="G34" s="11"/>
    </row>
    <row r="35" spans="1:7" x14ac:dyDescent="0.25">
      <c r="A35" s="396">
        <v>55000</v>
      </c>
      <c r="B35" s="397" t="s">
        <v>26</v>
      </c>
      <c r="C35" s="398">
        <v>812</v>
      </c>
      <c r="D35" s="399">
        <v>19764.2</v>
      </c>
      <c r="E35" s="395">
        <f t="shared" si="0"/>
        <v>508000</v>
      </c>
      <c r="G35" s="11"/>
    </row>
    <row r="36" spans="1:7" ht="15.75" thickBot="1" x14ac:dyDescent="0.3">
      <c r="A36" s="403">
        <v>56000</v>
      </c>
      <c r="B36" s="404" t="s">
        <v>27</v>
      </c>
      <c r="C36" s="405">
        <v>44</v>
      </c>
      <c r="D36" s="406">
        <v>714.2</v>
      </c>
      <c r="E36" s="402">
        <f t="shared" si="0"/>
        <v>18000</v>
      </c>
      <c r="G36" s="11"/>
    </row>
    <row r="37" spans="1:7" ht="15.75" thickBot="1" x14ac:dyDescent="0.3">
      <c r="A37" s="975" t="s">
        <v>28</v>
      </c>
      <c r="B37" s="976"/>
      <c r="C37" s="407">
        <f>SUM(C11:C36)</f>
        <v>56005</v>
      </c>
      <c r="D37" s="408">
        <f t="shared" ref="D37:E37" si="1">SUM(D11:D36)</f>
        <v>972875.7359999998</v>
      </c>
      <c r="E37" s="409">
        <f t="shared" si="1"/>
        <v>25000000</v>
      </c>
    </row>
    <row r="39" spans="1:7" x14ac:dyDescent="0.25">
      <c r="A39" s="544" t="s">
        <v>209</v>
      </c>
    </row>
  </sheetData>
  <mergeCells count="7">
    <mergeCell ref="A1:E1"/>
    <mergeCell ref="A37:B37"/>
    <mergeCell ref="A3:E3"/>
    <mergeCell ref="A9:A10"/>
    <mergeCell ref="B9:B10"/>
    <mergeCell ref="C9:D9"/>
    <mergeCell ref="E9:E10"/>
  </mergeCells>
  <hyperlinks>
    <hyperlink ref="A39" location="'0 Seznam'!A1" display="Seznam" xr:uid="{3C57CCDB-FCED-462A-9703-48B3F5E75C4C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842/2025-1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J42"/>
  <sheetViews>
    <sheetView tabSelected="1" zoomScale="85" zoomScaleNormal="85" workbookViewId="0">
      <selection activeCell="G3" sqref="G3"/>
    </sheetView>
  </sheetViews>
  <sheetFormatPr defaultRowHeight="15" x14ac:dyDescent="0.25"/>
  <cols>
    <col min="1" max="1" width="10.85546875" customWidth="1"/>
    <col min="2" max="2" width="58.5703125" customWidth="1"/>
    <col min="3" max="5" width="15.7109375" customWidth="1"/>
    <col min="7" max="7" width="18.28515625" customWidth="1"/>
  </cols>
  <sheetData>
    <row r="1" spans="1:10" ht="27.75" customHeight="1" x14ac:dyDescent="0.25">
      <c r="A1" s="972" t="s">
        <v>129</v>
      </c>
      <c r="B1" s="972"/>
      <c r="C1" s="972"/>
      <c r="D1" s="972"/>
      <c r="E1" s="972"/>
    </row>
    <row r="2" spans="1:10" ht="15.75" x14ac:dyDescent="0.25">
      <c r="A2" s="378"/>
      <c r="B2" s="378"/>
      <c r="C2" s="378"/>
      <c r="D2" s="378"/>
      <c r="E2" s="378"/>
    </row>
    <row r="3" spans="1:10" ht="48" customHeight="1" x14ac:dyDescent="0.25">
      <c r="A3" s="977" t="s">
        <v>261</v>
      </c>
      <c r="B3" s="977"/>
      <c r="C3" s="977"/>
      <c r="D3" s="977"/>
      <c r="E3" s="977"/>
    </row>
    <row r="4" spans="1:10" x14ac:dyDescent="0.25">
      <c r="A4" s="410"/>
      <c r="B4" s="410"/>
      <c r="C4" s="410"/>
      <c r="D4" s="410"/>
      <c r="E4" s="410"/>
    </row>
    <row r="5" spans="1:10" x14ac:dyDescent="0.25">
      <c r="A5" s="411" t="s">
        <v>130</v>
      </c>
      <c r="B5" s="412"/>
      <c r="C5" s="412"/>
      <c r="D5" s="413"/>
      <c r="E5" s="414">
        <f>'1 Bilance'!O44</f>
        <v>123462000</v>
      </c>
    </row>
    <row r="6" spans="1:10" x14ac:dyDescent="0.25">
      <c r="A6" s="411" t="s">
        <v>131</v>
      </c>
      <c r="B6" s="412"/>
      <c r="C6" s="412"/>
      <c r="D6" s="413"/>
      <c r="E6" s="415">
        <f>E5/D37</f>
        <v>0.73071278853913368</v>
      </c>
      <c r="G6" s="443"/>
    </row>
    <row r="7" spans="1:10" ht="27.75" x14ac:dyDescent="0.25">
      <c r="A7" s="416"/>
      <c r="B7" s="417"/>
      <c r="C7" s="416"/>
      <c r="D7" s="418"/>
      <c r="E7" s="416"/>
    </row>
    <row r="8" spans="1:10" ht="15.75" thickBot="1" x14ac:dyDescent="0.3">
      <c r="A8" s="419"/>
      <c r="B8" s="416"/>
      <c r="C8" s="416"/>
      <c r="D8" s="416"/>
      <c r="E8" s="420"/>
    </row>
    <row r="9" spans="1:10" ht="15" customHeight="1" x14ac:dyDescent="0.25">
      <c r="A9" s="911" t="s">
        <v>2</v>
      </c>
      <c r="B9" s="987" t="s">
        <v>3</v>
      </c>
      <c r="C9" s="989" t="s">
        <v>212</v>
      </c>
      <c r="D9" s="990"/>
      <c r="E9" s="991" t="s">
        <v>229</v>
      </c>
    </row>
    <row r="10" spans="1:10" ht="45.75" thickBot="1" x14ac:dyDescent="0.3">
      <c r="A10" s="986"/>
      <c r="B10" s="988"/>
      <c r="C10" s="514" t="s">
        <v>208</v>
      </c>
      <c r="D10" s="515" t="s">
        <v>132</v>
      </c>
      <c r="E10" s="992"/>
    </row>
    <row r="11" spans="1:10" x14ac:dyDescent="0.25">
      <c r="A11" s="516">
        <v>11000</v>
      </c>
      <c r="B11" s="517" t="s">
        <v>4</v>
      </c>
      <c r="C11" s="523">
        <v>1320</v>
      </c>
      <c r="D11" s="577">
        <v>36769100</v>
      </c>
      <c r="E11" s="537">
        <f>ROUND(D11/$D$37*$E$5,-3)</f>
        <v>26868000</v>
      </c>
      <c r="G11" s="585"/>
      <c r="I11" s="542"/>
      <c r="J11" s="11"/>
    </row>
    <row r="12" spans="1:10" x14ac:dyDescent="0.25">
      <c r="A12" s="518">
        <v>12000</v>
      </c>
      <c r="B12" s="519" t="s">
        <v>5</v>
      </c>
      <c r="C12" s="524">
        <v>146</v>
      </c>
      <c r="D12" s="578">
        <v>4830000</v>
      </c>
      <c r="E12" s="537">
        <f>ROUND(D12/$D$37*$E$5,-3)</f>
        <v>3529000</v>
      </c>
      <c r="G12" s="585"/>
      <c r="I12" s="542"/>
    </row>
    <row r="13" spans="1:10" x14ac:dyDescent="0.25">
      <c r="A13" s="518">
        <v>13000</v>
      </c>
      <c r="B13" s="519" t="s">
        <v>6</v>
      </c>
      <c r="C13" s="525">
        <v>181</v>
      </c>
      <c r="D13" s="578">
        <v>5287000</v>
      </c>
      <c r="E13" s="537">
        <f t="shared" ref="E13:E36" si="0">ROUND(D13/$D$37*$E$5,-3)</f>
        <v>3863000</v>
      </c>
      <c r="G13" s="585"/>
      <c r="I13" s="542"/>
    </row>
    <row r="14" spans="1:10" x14ac:dyDescent="0.25">
      <c r="A14" s="518">
        <v>14000</v>
      </c>
      <c r="B14" s="519" t="s">
        <v>7</v>
      </c>
      <c r="C14" s="533">
        <v>802</v>
      </c>
      <c r="D14" s="578">
        <v>25800050</v>
      </c>
      <c r="E14" s="537">
        <f t="shared" si="0"/>
        <v>18852000</v>
      </c>
      <c r="G14" s="585"/>
      <c r="I14" s="542"/>
    </row>
    <row r="15" spans="1:10" x14ac:dyDescent="0.25">
      <c r="A15" s="518">
        <v>15000</v>
      </c>
      <c r="B15" s="519" t="s">
        <v>8</v>
      </c>
      <c r="C15" s="526">
        <v>563</v>
      </c>
      <c r="D15" s="578">
        <v>16338050</v>
      </c>
      <c r="E15" s="537">
        <f t="shared" si="0"/>
        <v>11938000</v>
      </c>
      <c r="G15" s="585"/>
      <c r="I15" s="542"/>
    </row>
    <row r="16" spans="1:10" x14ac:dyDescent="0.25">
      <c r="A16" s="518">
        <v>16000</v>
      </c>
      <c r="B16" s="519" t="s">
        <v>218</v>
      </c>
      <c r="C16" s="526">
        <v>0</v>
      </c>
      <c r="D16" s="579">
        <v>0</v>
      </c>
      <c r="E16" s="537">
        <f t="shared" si="0"/>
        <v>0</v>
      </c>
      <c r="G16" s="585"/>
      <c r="I16" s="542"/>
    </row>
    <row r="17" spans="1:9" x14ac:dyDescent="0.25">
      <c r="A17" s="518">
        <v>17000</v>
      </c>
      <c r="B17" s="519" t="s">
        <v>9</v>
      </c>
      <c r="C17" s="527">
        <v>251</v>
      </c>
      <c r="D17" s="578">
        <v>8152900</v>
      </c>
      <c r="E17" s="537">
        <f t="shared" si="0"/>
        <v>5957000</v>
      </c>
      <c r="G17" s="585"/>
      <c r="I17" s="542"/>
    </row>
    <row r="18" spans="1:9" x14ac:dyDescent="0.25">
      <c r="A18" s="518">
        <v>18000</v>
      </c>
      <c r="B18" s="519" t="s">
        <v>10</v>
      </c>
      <c r="C18" s="527">
        <v>213</v>
      </c>
      <c r="D18" s="578">
        <v>5669800</v>
      </c>
      <c r="E18" s="537">
        <f t="shared" si="0"/>
        <v>4143000</v>
      </c>
      <c r="G18" s="585"/>
      <c r="I18" s="542"/>
    </row>
    <row r="19" spans="1:9" x14ac:dyDescent="0.25">
      <c r="A19" s="518">
        <v>19000</v>
      </c>
      <c r="B19" s="519" t="s">
        <v>11</v>
      </c>
      <c r="C19" s="528">
        <v>108</v>
      </c>
      <c r="D19" s="578">
        <v>5171700</v>
      </c>
      <c r="E19" s="537">
        <f t="shared" si="0"/>
        <v>3779000</v>
      </c>
      <c r="G19" s="585"/>
      <c r="I19" s="542"/>
    </row>
    <row r="20" spans="1:9" x14ac:dyDescent="0.25">
      <c r="A20" s="518">
        <v>21000</v>
      </c>
      <c r="B20" s="519" t="s">
        <v>12</v>
      </c>
      <c r="C20" s="525">
        <v>267</v>
      </c>
      <c r="D20" s="578">
        <v>6673000</v>
      </c>
      <c r="E20" s="537">
        <f>ROUND(D20/$D$37*$E$5,-3)</f>
        <v>4876000</v>
      </c>
      <c r="G20" s="585"/>
      <c r="I20" s="542"/>
    </row>
    <row r="21" spans="1:9" x14ac:dyDescent="0.25">
      <c r="A21" s="518">
        <v>22000</v>
      </c>
      <c r="B21" s="519" t="s">
        <v>13</v>
      </c>
      <c r="C21" s="525">
        <v>140</v>
      </c>
      <c r="D21" s="578">
        <v>3130000</v>
      </c>
      <c r="E21" s="537">
        <f t="shared" si="0"/>
        <v>2287000</v>
      </c>
      <c r="G21" s="585"/>
      <c r="I21" s="542"/>
    </row>
    <row r="22" spans="1:9" x14ac:dyDescent="0.25">
      <c r="A22" s="518">
        <v>23000</v>
      </c>
      <c r="B22" s="519" t="s">
        <v>14</v>
      </c>
      <c r="C22" s="528">
        <v>191</v>
      </c>
      <c r="D22" s="578">
        <v>5354400</v>
      </c>
      <c r="E22" s="537">
        <f>ROUND(D22/$D$37*$E$5-100,-3)</f>
        <v>3912000</v>
      </c>
      <c r="G22" s="585"/>
      <c r="I22" s="542"/>
    </row>
    <row r="23" spans="1:9" x14ac:dyDescent="0.25">
      <c r="A23" s="518">
        <v>24000</v>
      </c>
      <c r="B23" s="519" t="s">
        <v>15</v>
      </c>
      <c r="C23" s="527">
        <v>88</v>
      </c>
      <c r="D23" s="578">
        <v>3111400</v>
      </c>
      <c r="E23" s="537">
        <f>ROUND(D23/$D$37*$E$5,-3)</f>
        <v>2274000</v>
      </c>
      <c r="G23" s="585"/>
      <c r="I23" s="542"/>
    </row>
    <row r="24" spans="1:9" x14ac:dyDescent="0.25">
      <c r="A24" s="518">
        <v>25000</v>
      </c>
      <c r="B24" s="519" t="s">
        <v>16</v>
      </c>
      <c r="C24" s="529">
        <v>195</v>
      </c>
      <c r="D24" s="578">
        <v>6040950</v>
      </c>
      <c r="E24" s="537">
        <f t="shared" si="0"/>
        <v>4414000</v>
      </c>
      <c r="G24" s="585"/>
      <c r="I24" s="542"/>
    </row>
    <row r="25" spans="1:9" x14ac:dyDescent="0.25">
      <c r="A25" s="518">
        <v>26000</v>
      </c>
      <c r="B25" s="519" t="s">
        <v>17</v>
      </c>
      <c r="C25" s="525">
        <v>438</v>
      </c>
      <c r="D25" s="578">
        <v>9357400</v>
      </c>
      <c r="E25" s="537">
        <f t="shared" si="0"/>
        <v>6838000</v>
      </c>
      <c r="G25" s="585"/>
      <c r="I25" s="542"/>
    </row>
    <row r="26" spans="1:9" x14ac:dyDescent="0.25">
      <c r="A26" s="518">
        <v>27000</v>
      </c>
      <c r="B26" s="519" t="s">
        <v>18</v>
      </c>
      <c r="C26" s="530">
        <v>183</v>
      </c>
      <c r="D26" s="580">
        <v>4920100</v>
      </c>
      <c r="E26" s="537">
        <f t="shared" si="0"/>
        <v>3595000</v>
      </c>
      <c r="G26" s="585"/>
      <c r="I26" s="542"/>
    </row>
    <row r="27" spans="1:9" x14ac:dyDescent="0.25">
      <c r="A27" s="518">
        <v>28000</v>
      </c>
      <c r="B27" s="519" t="s">
        <v>19</v>
      </c>
      <c r="C27" s="531">
        <v>222</v>
      </c>
      <c r="D27" s="578">
        <v>5711200</v>
      </c>
      <c r="E27" s="537">
        <f t="shared" si="0"/>
        <v>4173000</v>
      </c>
      <c r="G27" s="585"/>
      <c r="I27" s="542"/>
    </row>
    <row r="28" spans="1:9" x14ac:dyDescent="0.25">
      <c r="A28" s="518">
        <v>31000</v>
      </c>
      <c r="B28" s="519" t="s">
        <v>20</v>
      </c>
      <c r="C28" s="531">
        <v>207</v>
      </c>
      <c r="D28" s="581">
        <v>4455000</v>
      </c>
      <c r="E28" s="537">
        <f t="shared" si="0"/>
        <v>3255000</v>
      </c>
      <c r="G28" s="585"/>
      <c r="I28" s="542"/>
    </row>
    <row r="29" spans="1:9" x14ac:dyDescent="0.25">
      <c r="A29" s="518">
        <v>41000</v>
      </c>
      <c r="B29" s="519" t="s">
        <v>21</v>
      </c>
      <c r="C29" s="530">
        <v>204</v>
      </c>
      <c r="D29" s="578">
        <v>5478700</v>
      </c>
      <c r="E29" s="537">
        <f t="shared" si="0"/>
        <v>4003000</v>
      </c>
      <c r="G29" s="585"/>
      <c r="I29" s="542"/>
    </row>
    <row r="30" spans="1:9" x14ac:dyDescent="0.25">
      <c r="A30" s="518">
        <v>43000</v>
      </c>
      <c r="B30" s="519" t="s">
        <v>22</v>
      </c>
      <c r="C30" s="530">
        <v>152</v>
      </c>
      <c r="D30" s="578">
        <v>4145000</v>
      </c>
      <c r="E30" s="537">
        <f t="shared" si="0"/>
        <v>3029000</v>
      </c>
      <c r="G30" s="585"/>
      <c r="I30" s="542"/>
    </row>
    <row r="31" spans="1:9" x14ac:dyDescent="0.25">
      <c r="A31" s="518">
        <v>51000</v>
      </c>
      <c r="B31" s="519" t="s">
        <v>23</v>
      </c>
      <c r="C31" s="534">
        <v>11</v>
      </c>
      <c r="D31" s="582">
        <v>453800</v>
      </c>
      <c r="E31" s="537">
        <f t="shared" si="0"/>
        <v>332000</v>
      </c>
      <c r="G31" s="585"/>
      <c r="I31" s="542"/>
    </row>
    <row r="32" spans="1:9" x14ac:dyDescent="0.25">
      <c r="A32" s="518">
        <v>52000</v>
      </c>
      <c r="B32" s="519" t="s">
        <v>24</v>
      </c>
      <c r="C32" s="534">
        <v>2</v>
      </c>
      <c r="D32" s="583">
        <v>153000</v>
      </c>
      <c r="E32" s="537">
        <f t="shared" si="0"/>
        <v>112000</v>
      </c>
      <c r="G32" s="585"/>
      <c r="I32" s="542"/>
    </row>
    <row r="33" spans="1:9" x14ac:dyDescent="0.25">
      <c r="A33" s="518">
        <v>53000</v>
      </c>
      <c r="B33" s="519" t="s">
        <v>25</v>
      </c>
      <c r="C33" s="535">
        <v>0</v>
      </c>
      <c r="D33" s="583">
        <v>0</v>
      </c>
      <c r="E33" s="537">
        <f t="shared" si="0"/>
        <v>0</v>
      </c>
      <c r="G33" s="585"/>
      <c r="I33" s="542"/>
    </row>
    <row r="34" spans="1:9" x14ac:dyDescent="0.25">
      <c r="A34" s="518">
        <v>54000</v>
      </c>
      <c r="B34" s="519" t="s">
        <v>223</v>
      </c>
      <c r="C34" s="530">
        <v>1</v>
      </c>
      <c r="D34" s="580">
        <v>95000</v>
      </c>
      <c r="E34" s="537">
        <f t="shared" si="0"/>
        <v>69000</v>
      </c>
      <c r="G34" s="585"/>
      <c r="I34" s="542"/>
    </row>
    <row r="35" spans="1:9" x14ac:dyDescent="0.25">
      <c r="A35" s="518">
        <v>55000</v>
      </c>
      <c r="B35" s="519" t="s">
        <v>26</v>
      </c>
      <c r="C35" s="530">
        <v>28</v>
      </c>
      <c r="D35" s="578">
        <v>763500</v>
      </c>
      <c r="E35" s="537">
        <f t="shared" si="0"/>
        <v>558000</v>
      </c>
      <c r="G35" s="585"/>
      <c r="I35" s="542"/>
    </row>
    <row r="36" spans="1:9" ht="15.75" thickBot="1" x14ac:dyDescent="0.3">
      <c r="A36" s="520">
        <v>56000</v>
      </c>
      <c r="B36" s="421" t="s">
        <v>27</v>
      </c>
      <c r="C36" s="532">
        <v>36</v>
      </c>
      <c r="D36" s="578">
        <v>1100000</v>
      </c>
      <c r="E36" s="537">
        <f t="shared" si="0"/>
        <v>804000</v>
      </c>
      <c r="G36" s="585"/>
      <c r="I36" s="542"/>
    </row>
    <row r="37" spans="1:9" ht="15.75" thickBot="1" x14ac:dyDescent="0.3">
      <c r="A37" s="489"/>
      <c r="B37" s="521" t="s">
        <v>28</v>
      </c>
      <c r="C37" s="522">
        <f>SUM(C11:C36)</f>
        <v>5949</v>
      </c>
      <c r="D37" s="536">
        <f t="shared" ref="D37:E37" si="1">SUM(D11:D36)</f>
        <v>168961050</v>
      </c>
      <c r="E37" s="538">
        <f t="shared" si="1"/>
        <v>123460000</v>
      </c>
    </row>
    <row r="39" spans="1:9" x14ac:dyDescent="0.25">
      <c r="B39" s="539" t="s">
        <v>262</v>
      </c>
      <c r="C39" s="540">
        <v>0.67168143321808904</v>
      </c>
    </row>
    <row r="40" spans="1:9" x14ac:dyDescent="0.25">
      <c r="A40" s="544" t="s">
        <v>209</v>
      </c>
      <c r="B40" s="422"/>
      <c r="C40" s="422"/>
      <c r="D40" s="422"/>
      <c r="E40" s="422"/>
    </row>
    <row r="41" spans="1:9" x14ac:dyDescent="0.25">
      <c r="A41" s="422"/>
      <c r="B41" s="422"/>
      <c r="C41" s="423"/>
      <c r="D41" s="422"/>
      <c r="E41" s="422"/>
    </row>
    <row r="42" spans="1:9" x14ac:dyDescent="0.25">
      <c r="A42" s="35"/>
    </row>
  </sheetData>
  <mergeCells count="6">
    <mergeCell ref="A1:E1"/>
    <mergeCell ref="A3:E3"/>
    <mergeCell ref="A9:A10"/>
    <mergeCell ref="B9:B10"/>
    <mergeCell ref="C9:D9"/>
    <mergeCell ref="E9:E10"/>
  </mergeCells>
  <hyperlinks>
    <hyperlink ref="A40" location="'0 Seznam'!A1" display="Seznam" xr:uid="{0DA9AECE-2B88-42F9-9A20-08E8036B6FD5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842/2025-1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U75"/>
  <sheetViews>
    <sheetView showGridLines="0" zoomScale="70" zoomScaleNormal="70" workbookViewId="0">
      <selection activeCell="B73" sqref="B73:Q73"/>
    </sheetView>
  </sheetViews>
  <sheetFormatPr defaultRowHeight="15" x14ac:dyDescent="0.25"/>
  <cols>
    <col min="1" max="1" width="5.7109375" customWidth="1"/>
    <col min="2" max="2" width="4.85546875" bestFit="1" customWidth="1"/>
    <col min="3" max="3" width="7.28515625" customWidth="1"/>
    <col min="4" max="4" width="17.140625" customWidth="1"/>
    <col min="5" max="9" width="23.28515625" customWidth="1"/>
    <col min="10" max="10" width="21" customWidth="1"/>
    <col min="11" max="11" width="18.7109375" customWidth="1"/>
    <col min="12" max="12" width="22.7109375" customWidth="1"/>
    <col min="13" max="14" width="19.42578125" customWidth="1"/>
    <col min="15" max="15" width="22.28515625" customWidth="1"/>
    <col min="16" max="17" width="19.42578125" customWidth="1"/>
    <col min="18" max="18" width="14" bestFit="1" customWidth="1"/>
    <col min="19" max="19" width="18.140625" customWidth="1"/>
    <col min="20" max="20" width="12" bestFit="1" customWidth="1"/>
    <col min="21" max="21" width="11" bestFit="1" customWidth="1"/>
  </cols>
  <sheetData>
    <row r="1" spans="1:20" ht="27.75" customHeight="1" x14ac:dyDescent="0.25">
      <c r="A1" s="869" t="s">
        <v>235</v>
      </c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</row>
    <row r="2" spans="1:20" x14ac:dyDescent="0.25">
      <c r="A2" s="37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  <c r="P2" s="39"/>
      <c r="Q2" s="39"/>
    </row>
    <row r="3" spans="1:20" ht="15.75" thickBot="1" x14ac:dyDescent="0.3">
      <c r="A3" s="39"/>
      <c r="B3" s="39"/>
      <c r="C3" s="38"/>
      <c r="D3" s="38"/>
      <c r="E3" s="38"/>
      <c r="F3" s="38"/>
      <c r="G3" s="38"/>
      <c r="H3" s="38"/>
      <c r="I3" s="38"/>
      <c r="J3" s="39"/>
      <c r="K3" s="39"/>
      <c r="L3" s="40"/>
      <c r="M3" s="39"/>
      <c r="N3" s="41"/>
      <c r="O3" s="39"/>
      <c r="P3" s="42" t="s">
        <v>0</v>
      </c>
      <c r="Q3" s="43"/>
    </row>
    <row r="4" spans="1:20" ht="16.5" thickBot="1" x14ac:dyDescent="0.3">
      <c r="A4" s="873" t="s">
        <v>44</v>
      </c>
      <c r="B4" s="874"/>
      <c r="C4" s="874"/>
      <c r="D4" s="874"/>
      <c r="E4" s="44">
        <v>2022</v>
      </c>
      <c r="F4" s="45">
        <v>2023</v>
      </c>
      <c r="G4" s="46">
        <v>2024</v>
      </c>
      <c r="H4" s="471">
        <v>2025</v>
      </c>
      <c r="I4" s="468"/>
      <c r="J4" s="875" t="s">
        <v>44</v>
      </c>
      <c r="K4" s="876"/>
      <c r="L4" s="44">
        <v>2022</v>
      </c>
      <c r="M4" s="45">
        <v>2023</v>
      </c>
      <c r="N4" s="46">
        <v>2024</v>
      </c>
      <c r="O4" s="47">
        <v>2025</v>
      </c>
      <c r="P4" s="48" t="s">
        <v>45</v>
      </c>
      <c r="Q4" s="43"/>
    </row>
    <row r="5" spans="1:20" x14ac:dyDescent="0.25">
      <c r="A5" s="877" t="s">
        <v>46</v>
      </c>
      <c r="B5" s="878"/>
      <c r="C5" s="878"/>
      <c r="D5" s="879"/>
      <c r="E5" s="49">
        <v>48342.069411484525</v>
      </c>
      <c r="F5" s="50">
        <v>49424.151805746857</v>
      </c>
      <c r="G5" s="778">
        <v>51072.62866921255</v>
      </c>
      <c r="H5" s="472">
        <v>56820.582716727477</v>
      </c>
      <c r="I5" s="469"/>
      <c r="J5" s="880" t="s">
        <v>48</v>
      </c>
      <c r="K5" s="881"/>
      <c r="L5" s="51">
        <v>135000</v>
      </c>
      <c r="M5" s="51">
        <v>135000</v>
      </c>
      <c r="N5" s="51" t="s">
        <v>47</v>
      </c>
      <c r="O5" s="52" t="s">
        <v>47</v>
      </c>
      <c r="P5" s="53"/>
      <c r="Q5" s="43"/>
    </row>
    <row r="6" spans="1:20" x14ac:dyDescent="0.25">
      <c r="A6" s="870" t="s">
        <v>49</v>
      </c>
      <c r="B6" s="871"/>
      <c r="C6" s="871"/>
      <c r="D6" s="872"/>
      <c r="E6" s="54" t="s">
        <v>47</v>
      </c>
      <c r="F6" s="54" t="s">
        <v>47</v>
      </c>
      <c r="G6" s="55" t="s">
        <v>47</v>
      </c>
      <c r="H6" s="473" t="s">
        <v>47</v>
      </c>
      <c r="I6" s="469"/>
      <c r="J6" s="847" t="s">
        <v>50</v>
      </c>
      <c r="K6" s="848"/>
      <c r="L6" s="51">
        <v>5400</v>
      </c>
      <c r="M6" s="51">
        <v>5400</v>
      </c>
      <c r="N6" s="51">
        <v>5400</v>
      </c>
      <c r="O6" s="57">
        <v>6150</v>
      </c>
      <c r="P6" s="56">
        <f>O6/N6-1</f>
        <v>0.13888888888888884</v>
      </c>
      <c r="Q6" s="43"/>
    </row>
    <row r="7" spans="1:20" ht="15.75" thickBot="1" x14ac:dyDescent="0.3">
      <c r="A7" s="845" t="s">
        <v>51</v>
      </c>
      <c r="B7" s="846"/>
      <c r="C7" s="846"/>
      <c r="D7" s="846"/>
      <c r="E7" s="58" t="s">
        <v>47</v>
      </c>
      <c r="F7" s="59" t="s">
        <v>47</v>
      </c>
      <c r="G7" s="60" t="s">
        <v>47</v>
      </c>
      <c r="H7" s="474" t="s">
        <v>47</v>
      </c>
      <c r="I7" s="470"/>
      <c r="J7" s="847" t="s">
        <v>133</v>
      </c>
      <c r="K7" s="848"/>
      <c r="L7" s="51">
        <v>4050</v>
      </c>
      <c r="M7" s="51">
        <v>4330</v>
      </c>
      <c r="N7" s="51">
        <v>4730</v>
      </c>
      <c r="O7" s="57">
        <v>5200</v>
      </c>
      <c r="P7" s="56">
        <f>O7/N7-1</f>
        <v>9.9365750528541241E-2</v>
      </c>
      <c r="Q7" s="61"/>
    </row>
    <row r="8" spans="1:20" ht="15.75" thickBot="1" x14ac:dyDescent="0.3">
      <c r="A8" s="849"/>
      <c r="B8" s="849"/>
      <c r="C8" s="849"/>
      <c r="D8" s="849"/>
      <c r="E8" s="849"/>
      <c r="F8" s="849"/>
      <c r="G8" s="849"/>
      <c r="H8" s="849"/>
      <c r="I8" s="444"/>
      <c r="J8" s="850" t="s">
        <v>52</v>
      </c>
      <c r="K8" s="851"/>
      <c r="L8" s="62">
        <v>17.95</v>
      </c>
      <c r="M8" s="62">
        <v>17.95</v>
      </c>
      <c r="N8" s="62">
        <v>17.95</v>
      </c>
      <c r="O8" s="63">
        <v>20.5</v>
      </c>
      <c r="P8" s="64">
        <f>O8/N8-1</f>
        <v>0.14206128133704743</v>
      </c>
    </row>
    <row r="9" spans="1:20" ht="15.75" thickBot="1" x14ac:dyDescent="0.3">
      <c r="A9" s="852"/>
      <c r="B9" s="852"/>
      <c r="C9" s="852"/>
      <c r="D9" s="852"/>
      <c r="E9" s="852"/>
      <c r="F9" s="852"/>
      <c r="G9" s="852"/>
      <c r="H9" s="852"/>
      <c r="I9" s="852"/>
      <c r="J9" s="65"/>
      <c r="K9" s="65"/>
      <c r="L9" s="65"/>
      <c r="M9" s="65"/>
      <c r="N9" s="65"/>
      <c r="O9" s="39"/>
      <c r="P9" s="39"/>
      <c r="Q9" s="42" t="s">
        <v>0</v>
      </c>
    </row>
    <row r="10" spans="1:20" x14ac:dyDescent="0.25">
      <c r="A10" s="853" t="s">
        <v>134</v>
      </c>
      <c r="B10" s="855" t="s">
        <v>135</v>
      </c>
      <c r="C10" s="857" t="s">
        <v>53</v>
      </c>
      <c r="D10" s="858"/>
      <c r="E10" s="858"/>
      <c r="F10" s="858"/>
      <c r="G10" s="859"/>
      <c r="H10" s="866" t="s">
        <v>217</v>
      </c>
      <c r="I10" s="866" t="s">
        <v>224</v>
      </c>
      <c r="J10" s="833" t="s">
        <v>54</v>
      </c>
      <c r="K10" s="836" t="s">
        <v>55</v>
      </c>
      <c r="L10" s="839" t="s">
        <v>231</v>
      </c>
      <c r="M10" s="842" t="s">
        <v>56</v>
      </c>
      <c r="N10" s="827" t="s">
        <v>57</v>
      </c>
      <c r="O10" s="830" t="s">
        <v>236</v>
      </c>
      <c r="P10" s="815" t="s">
        <v>58</v>
      </c>
      <c r="Q10" s="818" t="s">
        <v>59</v>
      </c>
    </row>
    <row r="11" spans="1:20" x14ac:dyDescent="0.25">
      <c r="A11" s="854"/>
      <c r="B11" s="856"/>
      <c r="C11" s="860"/>
      <c r="D11" s="861"/>
      <c r="E11" s="861"/>
      <c r="F11" s="861"/>
      <c r="G11" s="862"/>
      <c r="H11" s="867"/>
      <c r="I11" s="867"/>
      <c r="J11" s="834"/>
      <c r="K11" s="837"/>
      <c r="L11" s="840"/>
      <c r="M11" s="843"/>
      <c r="N11" s="828"/>
      <c r="O11" s="831"/>
      <c r="P11" s="816"/>
      <c r="Q11" s="819"/>
    </row>
    <row r="12" spans="1:20" ht="15.75" thickBot="1" x14ac:dyDescent="0.3">
      <c r="A12" s="854"/>
      <c r="B12" s="856"/>
      <c r="C12" s="863"/>
      <c r="D12" s="864"/>
      <c r="E12" s="864"/>
      <c r="F12" s="864"/>
      <c r="G12" s="865"/>
      <c r="H12" s="868"/>
      <c r="I12" s="868"/>
      <c r="J12" s="835"/>
      <c r="K12" s="838"/>
      <c r="L12" s="841"/>
      <c r="M12" s="844"/>
      <c r="N12" s="829"/>
      <c r="O12" s="832"/>
      <c r="P12" s="817"/>
      <c r="Q12" s="820"/>
    </row>
    <row r="13" spans="1:20" ht="15.75" thickBot="1" x14ac:dyDescent="0.3">
      <c r="A13" s="66"/>
      <c r="B13" s="67"/>
      <c r="C13" s="821">
        <v>1</v>
      </c>
      <c r="D13" s="822"/>
      <c r="E13" s="822"/>
      <c r="F13" s="822"/>
      <c r="G13" s="822"/>
      <c r="H13" s="68">
        <v>2</v>
      </c>
      <c r="I13" s="68">
        <v>3</v>
      </c>
      <c r="J13" s="69">
        <v>4</v>
      </c>
      <c r="K13" s="70">
        <v>5</v>
      </c>
      <c r="L13" s="71">
        <v>6</v>
      </c>
      <c r="M13" s="69">
        <v>7</v>
      </c>
      <c r="N13" s="72">
        <v>8</v>
      </c>
      <c r="O13" s="73">
        <v>9</v>
      </c>
      <c r="P13" s="69">
        <v>10</v>
      </c>
      <c r="Q13" s="72">
        <v>11</v>
      </c>
    </row>
    <row r="14" spans="1:20" x14ac:dyDescent="0.25">
      <c r="A14" s="74"/>
      <c r="B14" s="75"/>
      <c r="C14" s="76"/>
      <c r="D14" s="39"/>
      <c r="E14" s="39"/>
      <c r="F14" s="39"/>
      <c r="G14" s="39"/>
      <c r="H14" s="77"/>
      <c r="I14" s="77"/>
      <c r="J14" s="78"/>
      <c r="K14" s="79"/>
      <c r="L14" s="80"/>
      <c r="M14" s="78"/>
      <c r="N14" s="81"/>
      <c r="O14" s="82"/>
      <c r="P14" s="78"/>
      <c r="Q14" s="81"/>
    </row>
    <row r="15" spans="1:20" ht="15.75" thickBot="1" x14ac:dyDescent="0.3">
      <c r="A15" s="74"/>
      <c r="B15" s="75"/>
      <c r="C15" s="83" t="s">
        <v>60</v>
      </c>
      <c r="D15" s="39"/>
      <c r="E15" s="39"/>
      <c r="F15" s="39"/>
      <c r="G15" s="39"/>
      <c r="H15" s="77"/>
      <c r="I15" s="77"/>
      <c r="J15" s="78"/>
      <c r="K15" s="79"/>
      <c r="L15" s="84"/>
      <c r="M15" s="78"/>
      <c r="N15" s="81"/>
      <c r="O15" s="85"/>
      <c r="P15" s="78"/>
      <c r="Q15" s="81"/>
    </row>
    <row r="16" spans="1:20" x14ac:dyDescent="0.25">
      <c r="A16" s="86" t="s">
        <v>61</v>
      </c>
      <c r="B16" s="87"/>
      <c r="C16" s="823" t="s">
        <v>39</v>
      </c>
      <c r="D16" s="824"/>
      <c r="E16" s="824"/>
      <c r="F16" s="824"/>
      <c r="G16" s="824"/>
      <c r="H16" s="88">
        <v>17965561474</v>
      </c>
      <c r="I16" s="88">
        <v>17965561474</v>
      </c>
      <c r="J16" s="89">
        <f>I16/$I$58</f>
        <v>0.89181866535268728</v>
      </c>
      <c r="K16" s="90">
        <f>I16/H16-1</f>
        <v>0</v>
      </c>
      <c r="L16" s="91">
        <v>18430561474</v>
      </c>
      <c r="M16" s="89">
        <f>L16/$L$58</f>
        <v>0.64396123785892145</v>
      </c>
      <c r="N16" s="92">
        <f>L16/I16-1</f>
        <v>2.5882853740639034E-2</v>
      </c>
      <c r="O16" s="93">
        <v>19930561474</v>
      </c>
      <c r="P16" s="89">
        <f>O16/$O$59</f>
        <v>0.61093450694368545</v>
      </c>
      <c r="Q16" s="92">
        <f>O16/L16-1</f>
        <v>8.1386560149892873E-2</v>
      </c>
      <c r="R16" s="11"/>
      <c r="S16" s="779"/>
      <c r="T16" s="443"/>
    </row>
    <row r="17" spans="1:21" x14ac:dyDescent="0.25">
      <c r="A17" s="94" t="s">
        <v>61</v>
      </c>
      <c r="B17" s="95"/>
      <c r="C17" s="825" t="s">
        <v>40</v>
      </c>
      <c r="D17" s="826"/>
      <c r="E17" s="826"/>
      <c r="F17" s="826"/>
      <c r="G17" s="826"/>
      <c r="H17" s="96">
        <v>3821738358</v>
      </c>
      <c r="I17" s="96">
        <v>4321738358</v>
      </c>
      <c r="J17" s="97">
        <f>I17/$I$58</f>
        <v>0.21453306316159024</v>
      </c>
      <c r="K17" s="98">
        <f>I17/H17-1</f>
        <v>0.13083051563520987</v>
      </c>
      <c r="L17" s="99">
        <v>4786738358</v>
      </c>
      <c r="M17" s="97">
        <f>L17/$L$58</f>
        <v>0.16724796814643483</v>
      </c>
      <c r="N17" s="100">
        <f>L17/I17-1</f>
        <v>0.10759559267146179</v>
      </c>
      <c r="O17" s="101">
        <v>6286738358</v>
      </c>
      <c r="P17" s="97">
        <f>O17/$O$59</f>
        <v>0.19270833910219246</v>
      </c>
      <c r="Q17" s="100">
        <f>O17/L17-1</f>
        <v>0.31336578016491612</v>
      </c>
      <c r="R17" s="11"/>
      <c r="S17" s="443"/>
      <c r="T17" s="443"/>
    </row>
    <row r="18" spans="1:21" x14ac:dyDescent="0.25">
      <c r="A18" s="94" t="s">
        <v>61</v>
      </c>
      <c r="B18" s="95"/>
      <c r="C18" s="734" t="s">
        <v>237</v>
      </c>
      <c r="D18" s="735"/>
      <c r="E18" s="735"/>
      <c r="F18" s="735"/>
      <c r="G18" s="735"/>
      <c r="H18" s="96">
        <v>0</v>
      </c>
      <c r="I18" s="96">
        <v>0</v>
      </c>
      <c r="J18" s="97">
        <f>I18/$I$58</f>
        <v>0</v>
      </c>
      <c r="K18" s="98"/>
      <c r="L18" s="99">
        <v>0</v>
      </c>
      <c r="M18" s="97">
        <f>L18/$L$58</f>
        <v>0</v>
      </c>
      <c r="N18" s="100"/>
      <c r="O18" s="101">
        <v>70969475</v>
      </c>
      <c r="P18" s="97">
        <f>O18/$O$59</f>
        <v>2.1754380213391679E-3</v>
      </c>
      <c r="Q18" s="100"/>
      <c r="R18" s="11"/>
      <c r="S18" s="779"/>
      <c r="T18" s="443"/>
    </row>
    <row r="19" spans="1:21" ht="15.75" thickBot="1" x14ac:dyDescent="0.3">
      <c r="A19" s="102" t="s">
        <v>61</v>
      </c>
      <c r="B19" s="103"/>
      <c r="C19" s="445" t="s">
        <v>1</v>
      </c>
      <c r="D19" s="446"/>
      <c r="E19" s="446"/>
      <c r="F19" s="446"/>
      <c r="G19" s="446"/>
      <c r="H19" s="104">
        <v>836800000</v>
      </c>
      <c r="I19" s="104">
        <v>848800000</v>
      </c>
      <c r="J19" s="105">
        <f>I19/$I$58</f>
        <v>4.213481912306867E-2</v>
      </c>
      <c r="K19" s="106">
        <f>I19/H19-1</f>
        <v>1.4340344168260133E-2</v>
      </c>
      <c r="L19" s="107">
        <v>857800000</v>
      </c>
      <c r="M19" s="105">
        <f>L19/$L$58</f>
        <v>2.9971411918982477E-2</v>
      </c>
      <c r="N19" s="108">
        <f>L19/I19-1</f>
        <v>1.0603204524033849E-2</v>
      </c>
      <c r="O19" s="109">
        <v>730212000</v>
      </c>
      <c r="P19" s="105">
        <f>O19/$O$59</f>
        <v>2.2383298572211736E-2</v>
      </c>
      <c r="Q19" s="108">
        <f>O19/L19-1</f>
        <v>-0.14873863371415252</v>
      </c>
      <c r="R19" s="11"/>
      <c r="S19" s="11"/>
    </row>
    <row r="20" spans="1:21" ht="15.75" thickBot="1" x14ac:dyDescent="0.3">
      <c r="A20" s="110"/>
      <c r="B20" s="111"/>
      <c r="C20" s="808" t="s">
        <v>62</v>
      </c>
      <c r="D20" s="809"/>
      <c r="E20" s="809"/>
      <c r="F20" s="809"/>
      <c r="G20" s="809"/>
      <c r="H20" s="112">
        <f>SUM(H16:H19)</f>
        <v>22624099832</v>
      </c>
      <c r="I20" s="112">
        <f>SUM(I16:I19)</f>
        <v>23136099832</v>
      </c>
      <c r="J20" s="113">
        <f>I20/$I$58</f>
        <v>1.148486547637346</v>
      </c>
      <c r="K20" s="114">
        <f>I20/H20-1</f>
        <v>2.2630734650304962E-2</v>
      </c>
      <c r="L20" s="115">
        <f>SUM(L16:L19)</f>
        <v>24075099832</v>
      </c>
      <c r="M20" s="113">
        <f>L20/$L$59</f>
        <v>0.84118061792433885</v>
      </c>
      <c r="N20" s="116">
        <f>L20/I20-1</f>
        <v>4.058592445651743E-2</v>
      </c>
      <c r="O20" s="117">
        <f>SUM(O16:O19)</f>
        <v>27018481307</v>
      </c>
      <c r="P20" s="113">
        <f>O20/$O$59</f>
        <v>0.82820158263942878</v>
      </c>
      <c r="Q20" s="116">
        <f>O20/L20-1</f>
        <v>0.12225832895977162</v>
      </c>
      <c r="R20" s="11"/>
      <c r="S20" s="11"/>
    </row>
    <row r="21" spans="1:21" x14ac:dyDescent="0.25">
      <c r="A21" s="74"/>
      <c r="B21" s="75"/>
      <c r="C21" s="76"/>
      <c r="D21" s="39"/>
      <c r="E21" s="39"/>
      <c r="F21" s="39"/>
      <c r="G21" s="39"/>
      <c r="H21" s="118"/>
      <c r="I21" s="118"/>
      <c r="J21" s="119"/>
      <c r="K21" s="120"/>
      <c r="L21" s="121"/>
      <c r="M21" s="119"/>
      <c r="N21" s="122"/>
      <c r="O21" s="123"/>
      <c r="P21" s="119"/>
      <c r="Q21" s="122"/>
      <c r="R21" s="11"/>
    </row>
    <row r="22" spans="1:21" ht="15.75" thickBot="1" x14ac:dyDescent="0.3">
      <c r="A22" s="74"/>
      <c r="B22" s="75"/>
      <c r="C22" s="76" t="s">
        <v>63</v>
      </c>
      <c r="D22" s="39"/>
      <c r="E22" s="39"/>
      <c r="F22" s="39"/>
      <c r="G22" s="39"/>
      <c r="H22" s="118"/>
      <c r="I22" s="118"/>
      <c r="J22" s="124"/>
      <c r="K22" s="124"/>
      <c r="L22" s="121"/>
      <c r="M22" s="124"/>
      <c r="N22" s="125"/>
      <c r="O22" s="123"/>
      <c r="P22" s="124"/>
      <c r="Q22" s="125"/>
      <c r="R22" s="11"/>
    </row>
    <row r="23" spans="1:21" x14ac:dyDescent="0.25">
      <c r="A23" s="86" t="s">
        <v>61</v>
      </c>
      <c r="B23" s="87"/>
      <c r="C23" s="802" t="s">
        <v>64</v>
      </c>
      <c r="D23" s="803"/>
      <c r="E23" s="803"/>
      <c r="F23" s="803"/>
      <c r="G23" s="803"/>
      <c r="H23" s="126">
        <v>1738530000</v>
      </c>
      <c r="I23" s="126">
        <v>1678725000</v>
      </c>
      <c r="J23" s="127">
        <f t="shared" ref="J23:J29" si="0">I23/$I$58</f>
        <v>8.3332674637574752E-2</v>
      </c>
      <c r="K23" s="128">
        <f t="shared" ref="K23:K29" si="1">I23/H23-1</f>
        <v>-3.4399751514210264E-2</v>
      </c>
      <c r="L23" s="129">
        <v>1678725000</v>
      </c>
      <c r="M23" s="127">
        <f t="shared" ref="M23:M28" si="2">L23/$L$58</f>
        <v>5.865441649999284E-2</v>
      </c>
      <c r="N23" s="130">
        <f t="shared" ref="N23:N29" si="3">L23/I23-1</f>
        <v>0</v>
      </c>
      <c r="O23" s="131">
        <v>1913746500</v>
      </c>
      <c r="P23" s="127">
        <f t="shared" ref="P23:P29" si="4">O23/$O$59</f>
        <v>5.8662360110522983E-2</v>
      </c>
      <c r="Q23" s="130">
        <f t="shared" ref="Q23:Q29" si="5">O23/L23-1</f>
        <v>0.1399999999999999</v>
      </c>
      <c r="R23" s="11"/>
      <c r="S23" s="11"/>
    </row>
    <row r="24" spans="1:21" x14ac:dyDescent="0.25">
      <c r="A24" s="132"/>
      <c r="B24" s="133" t="s">
        <v>65</v>
      </c>
      <c r="C24" s="804" t="s">
        <v>66</v>
      </c>
      <c r="D24" s="805"/>
      <c r="E24" s="805"/>
      <c r="F24" s="805"/>
      <c r="G24" s="805"/>
      <c r="H24" s="134">
        <v>115000000</v>
      </c>
      <c r="I24" s="134">
        <v>120000000</v>
      </c>
      <c r="J24" s="135">
        <f t="shared" si="0"/>
        <v>5.9568547299343076E-3</v>
      </c>
      <c r="K24" s="136">
        <f t="shared" si="1"/>
        <v>4.3478260869565188E-2</v>
      </c>
      <c r="L24" s="137">
        <v>120000000</v>
      </c>
      <c r="M24" s="135">
        <f t="shared" si="2"/>
        <v>4.1927832015363686E-3</v>
      </c>
      <c r="N24" s="138">
        <f t="shared" si="3"/>
        <v>0</v>
      </c>
      <c r="O24" s="139">
        <v>115245402</v>
      </c>
      <c r="P24" s="135">
        <f t="shared" si="4"/>
        <v>3.5326346897073284E-3</v>
      </c>
      <c r="Q24" s="138">
        <f t="shared" si="5"/>
        <v>-3.9621649999999953E-2</v>
      </c>
      <c r="R24" s="11"/>
      <c r="S24" s="11"/>
      <c r="U24" s="11"/>
    </row>
    <row r="25" spans="1:21" x14ac:dyDescent="0.25">
      <c r="A25" s="132" t="s">
        <v>61</v>
      </c>
      <c r="B25" s="133"/>
      <c r="C25" s="804" t="s">
        <v>67</v>
      </c>
      <c r="D25" s="805"/>
      <c r="E25" s="805"/>
      <c r="F25" s="805"/>
      <c r="G25" s="805"/>
      <c r="H25" s="134">
        <v>20000000</v>
      </c>
      <c r="I25" s="134">
        <v>24000000</v>
      </c>
      <c r="J25" s="135">
        <f t="shared" si="0"/>
        <v>1.1913709459868615E-3</v>
      </c>
      <c r="K25" s="136">
        <f t="shared" si="1"/>
        <v>0.19999999999999996</v>
      </c>
      <c r="L25" s="137">
        <v>24000000</v>
      </c>
      <c r="M25" s="135">
        <f t="shared" si="2"/>
        <v>8.3855664030727374E-4</v>
      </c>
      <c r="N25" s="138">
        <f t="shared" si="3"/>
        <v>0</v>
      </c>
      <c r="O25" s="139">
        <v>27360000</v>
      </c>
      <c r="P25" s="135">
        <f t="shared" si="4"/>
        <v>8.386702066464439E-4</v>
      </c>
      <c r="Q25" s="138">
        <f t="shared" si="5"/>
        <v>0.1399999999999999</v>
      </c>
      <c r="R25" s="11"/>
      <c r="S25" s="11"/>
    </row>
    <row r="26" spans="1:21" x14ac:dyDescent="0.25">
      <c r="A26" s="132"/>
      <c r="B26" s="133" t="s">
        <v>65</v>
      </c>
      <c r="C26" s="804" t="s">
        <v>145</v>
      </c>
      <c r="D26" s="805"/>
      <c r="E26" s="805"/>
      <c r="F26" s="805"/>
      <c r="G26" s="805"/>
      <c r="H26" s="134">
        <v>2000000</v>
      </c>
      <c r="I26" s="134">
        <v>2000000</v>
      </c>
      <c r="J26" s="135">
        <f t="shared" si="0"/>
        <v>9.9280912165571793E-5</v>
      </c>
      <c r="K26" s="136">
        <f t="shared" si="1"/>
        <v>0</v>
      </c>
      <c r="L26" s="137">
        <v>2000000</v>
      </c>
      <c r="M26" s="135">
        <f t="shared" si="2"/>
        <v>6.9879720025606154E-5</v>
      </c>
      <c r="N26" s="138">
        <f t="shared" si="3"/>
        <v>0</v>
      </c>
      <c r="O26" s="139">
        <v>2280000</v>
      </c>
      <c r="P26" s="135">
        <f t="shared" si="4"/>
        <v>6.9889183887203663E-5</v>
      </c>
      <c r="Q26" s="138">
        <f t="shared" si="5"/>
        <v>0.1399999999999999</v>
      </c>
      <c r="R26" s="11"/>
      <c r="S26" s="11"/>
    </row>
    <row r="27" spans="1:21" x14ac:dyDescent="0.25">
      <c r="A27" s="132" t="s">
        <v>61</v>
      </c>
      <c r="B27" s="133"/>
      <c r="C27" s="804" t="s">
        <v>68</v>
      </c>
      <c r="D27" s="805"/>
      <c r="E27" s="805"/>
      <c r="F27" s="805"/>
      <c r="G27" s="805"/>
      <c r="H27" s="134">
        <v>796829400</v>
      </c>
      <c r="I27" s="134">
        <v>785019600</v>
      </c>
      <c r="J27" s="135">
        <f t="shared" si="0"/>
        <v>3.896873097792615E-2</v>
      </c>
      <c r="K27" s="136">
        <f t="shared" si="1"/>
        <v>-1.4820989285786901E-2</v>
      </c>
      <c r="L27" s="137">
        <v>759331800</v>
      </c>
      <c r="M27" s="135">
        <f t="shared" si="2"/>
        <v>2.653094679526978E-2</v>
      </c>
      <c r="N27" s="138">
        <f t="shared" si="3"/>
        <v>-3.2722495081651481E-2</v>
      </c>
      <c r="O27" s="139">
        <v>887192850</v>
      </c>
      <c r="P27" s="135">
        <f t="shared" si="4"/>
        <v>2.7195256244325568E-2</v>
      </c>
      <c r="Q27" s="138">
        <f t="shared" si="5"/>
        <v>0.16838627066586698</v>
      </c>
      <c r="R27" s="11"/>
      <c r="S27" s="11"/>
      <c r="U27" s="11"/>
    </row>
    <row r="28" spans="1:21" ht="15.75" thickBot="1" x14ac:dyDescent="0.3">
      <c r="A28" s="102"/>
      <c r="B28" s="140" t="s">
        <v>65</v>
      </c>
      <c r="C28" s="806" t="s">
        <v>144</v>
      </c>
      <c r="D28" s="807"/>
      <c r="E28" s="807"/>
      <c r="F28" s="807"/>
      <c r="G28" s="807"/>
      <c r="H28" s="141">
        <v>25000000</v>
      </c>
      <c r="I28" s="141">
        <v>25000000</v>
      </c>
      <c r="J28" s="142">
        <f t="shared" si="0"/>
        <v>1.2410114020696473E-3</v>
      </c>
      <c r="K28" s="106">
        <f t="shared" si="1"/>
        <v>0</v>
      </c>
      <c r="L28" s="143">
        <v>25000000</v>
      </c>
      <c r="M28" s="142">
        <f t="shared" si="2"/>
        <v>8.7349650032007679E-4</v>
      </c>
      <c r="N28" s="144">
        <f t="shared" si="3"/>
        <v>0</v>
      </c>
      <c r="O28" s="145">
        <v>28500000</v>
      </c>
      <c r="P28" s="142">
        <f t="shared" si="4"/>
        <v>8.7361479859004575E-4</v>
      </c>
      <c r="Q28" s="144">
        <f t="shared" si="5"/>
        <v>0.1399999999999999</v>
      </c>
      <c r="R28" s="11"/>
      <c r="S28" s="11"/>
    </row>
    <row r="29" spans="1:21" ht="15.75" thickBot="1" x14ac:dyDescent="0.3">
      <c r="A29" s="110"/>
      <c r="B29" s="111"/>
      <c r="C29" s="808" t="s">
        <v>69</v>
      </c>
      <c r="D29" s="809"/>
      <c r="E29" s="809"/>
      <c r="F29" s="809"/>
      <c r="G29" s="809"/>
      <c r="H29" s="112">
        <f>SUM(H23:H28)</f>
        <v>2697359400</v>
      </c>
      <c r="I29" s="112">
        <f>SUM(I23:I28)</f>
        <v>2634744600</v>
      </c>
      <c r="J29" s="113">
        <f t="shared" si="0"/>
        <v>0.1307899236056573</v>
      </c>
      <c r="K29" s="114">
        <f t="shared" si="1"/>
        <v>-2.3213369341883006E-2</v>
      </c>
      <c r="L29" s="115">
        <f>SUM(L23:L28)</f>
        <v>2609056800</v>
      </c>
      <c r="M29" s="113">
        <f>L29/$L$59</f>
        <v>9.1160079357451948E-2</v>
      </c>
      <c r="N29" s="116">
        <f t="shared" si="3"/>
        <v>-9.7496356952396779E-3</v>
      </c>
      <c r="O29" s="117">
        <f>SUM(O23:O28)</f>
        <v>2974324752</v>
      </c>
      <c r="P29" s="113">
        <f t="shared" si="4"/>
        <v>9.1172425233679577E-2</v>
      </c>
      <c r="Q29" s="116">
        <f t="shared" si="5"/>
        <v>0.1399999999999999</v>
      </c>
      <c r="R29" s="11"/>
      <c r="S29" s="11"/>
    </row>
    <row r="30" spans="1:21" x14ac:dyDescent="0.25">
      <c r="A30" s="74"/>
      <c r="B30" s="75"/>
      <c r="C30" s="76"/>
      <c r="D30" s="39"/>
      <c r="E30" s="39"/>
      <c r="F30" s="39"/>
      <c r="G30" s="39"/>
      <c r="H30" s="118"/>
      <c r="I30" s="118"/>
      <c r="J30" s="119"/>
      <c r="K30" s="124"/>
      <c r="L30" s="121"/>
      <c r="M30" s="119"/>
      <c r="N30" s="125"/>
      <c r="O30" s="123"/>
      <c r="P30" s="119"/>
      <c r="Q30" s="125"/>
      <c r="R30" s="11"/>
    </row>
    <row r="31" spans="1:21" x14ac:dyDescent="0.25">
      <c r="A31" s="74"/>
      <c r="B31" s="75"/>
      <c r="C31" s="83" t="s">
        <v>70</v>
      </c>
      <c r="D31" s="39"/>
      <c r="E31" s="39"/>
      <c r="F31" s="39"/>
      <c r="G31" s="39"/>
      <c r="H31" s="118"/>
      <c r="I31" s="118"/>
      <c r="J31" s="124"/>
      <c r="K31" s="124"/>
      <c r="L31" s="121"/>
      <c r="M31" s="124"/>
      <c r="N31" s="125"/>
      <c r="O31" s="123"/>
      <c r="P31" s="124"/>
      <c r="Q31" s="125"/>
      <c r="R31" s="11"/>
    </row>
    <row r="32" spans="1:21" x14ac:dyDescent="0.25">
      <c r="A32" s="94" t="s">
        <v>61</v>
      </c>
      <c r="B32" s="146"/>
      <c r="C32" s="804" t="s">
        <v>71</v>
      </c>
      <c r="D32" s="805"/>
      <c r="E32" s="805"/>
      <c r="F32" s="805"/>
      <c r="G32" s="805"/>
      <c r="H32" s="134">
        <v>1399232643</v>
      </c>
      <c r="I32" s="134">
        <v>1399232643</v>
      </c>
      <c r="J32" s="135">
        <f>I32/$I$58</f>
        <v>6.9458546564441934E-2</v>
      </c>
      <c r="K32" s="136">
        <f>I32/H32-1</f>
        <v>0</v>
      </c>
      <c r="L32" s="137">
        <v>1399232643</v>
      </c>
      <c r="M32" s="135">
        <f>L32/$L$58</f>
        <v>4.8888992671764456E-2</v>
      </c>
      <c r="N32" s="147">
        <f>L32/I32-1</f>
        <v>0</v>
      </c>
      <c r="O32" s="139">
        <f>O33+O34+O35</f>
        <v>1399232643</v>
      </c>
      <c r="P32" s="135">
        <f>O32/$O$59</f>
        <v>4.2890889248949557E-2</v>
      </c>
      <c r="Q32" s="147">
        <f>O32/L32-1</f>
        <v>0</v>
      </c>
      <c r="R32" s="11"/>
    </row>
    <row r="33" spans="1:19" x14ac:dyDescent="0.25">
      <c r="A33" s="132" t="s">
        <v>61</v>
      </c>
      <c r="B33" s="133"/>
      <c r="C33" s="146" t="s">
        <v>136</v>
      </c>
      <c r="D33" s="148" t="s">
        <v>220</v>
      </c>
      <c r="E33" s="75"/>
      <c r="F33" s="75"/>
      <c r="G33" s="75"/>
      <c r="H33" s="149">
        <v>1239232643</v>
      </c>
      <c r="I33" s="149">
        <v>1239232643</v>
      </c>
      <c r="J33" s="135">
        <f>I33/$I$58</f>
        <v>6.1516073591196194E-2</v>
      </c>
      <c r="K33" s="136">
        <f>I33/H33-1</f>
        <v>0</v>
      </c>
      <c r="L33" s="150">
        <v>1239232643</v>
      </c>
      <c r="M33" s="135">
        <f>L33/$L$58</f>
        <v>4.3298615069715968E-2</v>
      </c>
      <c r="N33" s="147">
        <f>L33/I33-1</f>
        <v>0</v>
      </c>
      <c r="O33" s="151">
        <v>1239232643</v>
      </c>
      <c r="P33" s="135">
        <f>O33/$O$59</f>
        <v>3.7986385116514212E-2</v>
      </c>
      <c r="Q33" s="147">
        <f>O33/L33-1</f>
        <v>0</v>
      </c>
      <c r="R33" s="11"/>
    </row>
    <row r="34" spans="1:19" x14ac:dyDescent="0.25">
      <c r="A34" s="132" t="s">
        <v>61</v>
      </c>
      <c r="B34" s="133"/>
      <c r="C34" s="152"/>
      <c r="D34" s="153" t="s">
        <v>267</v>
      </c>
      <c r="E34" s="154"/>
      <c r="F34" s="154"/>
      <c r="G34" s="155"/>
      <c r="H34" s="156">
        <v>160000000</v>
      </c>
      <c r="I34" s="157">
        <v>160000000</v>
      </c>
      <c r="J34" s="135">
        <f>I34/$I$58</f>
        <v>7.9424729732457434E-3</v>
      </c>
      <c r="K34" s="136">
        <f>I34/H34-1</f>
        <v>0</v>
      </c>
      <c r="L34" s="158">
        <v>130000000</v>
      </c>
      <c r="M34" s="135">
        <f>L34/$L$58</f>
        <v>4.5421818016644E-3</v>
      </c>
      <c r="N34" s="147">
        <f>L34/I34-1</f>
        <v>-0.1875</v>
      </c>
      <c r="O34" s="159">
        <v>130000000</v>
      </c>
      <c r="P34" s="135">
        <f>O34/$O$59</f>
        <v>3.9849096076037174E-3</v>
      </c>
      <c r="Q34" s="147">
        <f>O34/L34-1</f>
        <v>0</v>
      </c>
      <c r="R34" s="11"/>
      <c r="S34" s="11"/>
    </row>
    <row r="35" spans="1:19" x14ac:dyDescent="0.25">
      <c r="A35" s="132" t="s">
        <v>61</v>
      </c>
      <c r="B35" s="133"/>
      <c r="C35" s="160"/>
      <c r="D35" s="153" t="s">
        <v>232</v>
      </c>
      <c r="E35" s="154"/>
      <c r="F35" s="154"/>
      <c r="G35" s="155"/>
      <c r="H35" s="156">
        <v>0</v>
      </c>
      <c r="I35" s="157">
        <v>0</v>
      </c>
      <c r="J35" s="135">
        <f>I35/$I$58</f>
        <v>0</v>
      </c>
      <c r="K35" s="136"/>
      <c r="L35" s="158">
        <v>30000000</v>
      </c>
      <c r="M35" s="135"/>
      <c r="N35" s="147"/>
      <c r="O35" s="159">
        <v>30000000</v>
      </c>
      <c r="P35" s="135">
        <f>O35/$O$59</f>
        <v>9.1959452483162708E-4</v>
      </c>
      <c r="Q35" s="147">
        <f>O35/L35-1</f>
        <v>0</v>
      </c>
      <c r="R35" s="11"/>
      <c r="S35" s="11"/>
    </row>
    <row r="36" spans="1:19" ht="15.75" thickBot="1" x14ac:dyDescent="0.3">
      <c r="A36" s="110"/>
      <c r="B36" s="111"/>
      <c r="C36" s="810" t="s">
        <v>72</v>
      </c>
      <c r="D36" s="811"/>
      <c r="E36" s="811"/>
      <c r="F36" s="811"/>
      <c r="G36" s="811"/>
      <c r="H36" s="112">
        <f>SUM(H32)</f>
        <v>1399232643</v>
      </c>
      <c r="I36" s="112">
        <f>SUM(I32)</f>
        <v>1399232643</v>
      </c>
      <c r="J36" s="113">
        <f>I36/$I$58</f>
        <v>6.9458546564441934E-2</v>
      </c>
      <c r="K36" s="114">
        <f>I36/H36-1</f>
        <v>0</v>
      </c>
      <c r="L36" s="115">
        <f>SUM(L32)</f>
        <v>1399232643</v>
      </c>
      <c r="M36" s="113">
        <f>L36/$L$59</f>
        <v>4.8888992671764456E-2</v>
      </c>
      <c r="N36" s="116">
        <f>L36/I36-1</f>
        <v>0</v>
      </c>
      <c r="O36" s="117">
        <f>SUM(O32)</f>
        <v>1399232643</v>
      </c>
      <c r="P36" s="113">
        <f>O36/$O$59</f>
        <v>4.2890889248949557E-2</v>
      </c>
      <c r="Q36" s="116">
        <f>O36/L36-1</f>
        <v>0</v>
      </c>
      <c r="R36" s="11"/>
      <c r="S36" s="11"/>
    </row>
    <row r="37" spans="1:19" x14ac:dyDescent="0.25">
      <c r="A37" s="74"/>
      <c r="B37" s="75"/>
      <c r="C37" s="76"/>
      <c r="D37" s="39"/>
      <c r="E37" s="39"/>
      <c r="F37" s="39"/>
      <c r="G37" s="39"/>
      <c r="H37" s="118"/>
      <c r="I37" s="118"/>
      <c r="J37" s="119"/>
      <c r="K37" s="124"/>
      <c r="L37" s="121"/>
      <c r="M37" s="119"/>
      <c r="N37" s="125"/>
      <c r="O37" s="123"/>
      <c r="P37" s="119"/>
      <c r="Q37" s="125"/>
      <c r="R37" s="11"/>
    </row>
    <row r="38" spans="1:19" ht="15.75" thickBot="1" x14ac:dyDescent="0.3">
      <c r="A38" s="161"/>
      <c r="B38" s="162"/>
      <c r="C38" s="83" t="s">
        <v>73</v>
      </c>
      <c r="D38" s="39"/>
      <c r="E38" s="39"/>
      <c r="F38" s="39"/>
      <c r="G38" s="39"/>
      <c r="H38" s="118"/>
      <c r="I38" s="118"/>
      <c r="J38" s="124"/>
      <c r="K38" s="124"/>
      <c r="L38" s="121"/>
      <c r="M38" s="124"/>
      <c r="N38" s="125"/>
      <c r="O38" s="123"/>
      <c r="P38" s="124"/>
      <c r="Q38" s="125"/>
      <c r="R38" s="11"/>
    </row>
    <row r="39" spans="1:19" ht="15.75" thickBot="1" x14ac:dyDescent="0.3">
      <c r="A39" s="163" t="s">
        <v>61</v>
      </c>
      <c r="B39" s="164"/>
      <c r="C39" s="165" t="s">
        <v>74</v>
      </c>
      <c r="D39" s="166"/>
      <c r="E39" s="166"/>
      <c r="F39" s="166"/>
      <c r="G39" s="166"/>
      <c r="H39" s="167">
        <f>SUM(H40:H41)</f>
        <v>47000000</v>
      </c>
      <c r="I39" s="167">
        <f>SUM(I40:I41)</f>
        <v>31667000</v>
      </c>
      <c r="J39" s="168">
        <f>I39/$I$58</f>
        <v>1.571964322773581E-3</v>
      </c>
      <c r="K39" s="169">
        <f>I39/H39-1</f>
        <v>-0.32623404255319144</v>
      </c>
      <c r="L39" s="170">
        <f>SUM(L40:L41)</f>
        <v>48367000</v>
      </c>
      <c r="M39" s="168">
        <f>L39/$L$58</f>
        <v>1.6899362092392463E-3</v>
      </c>
      <c r="N39" s="171">
        <f>L39/I39-1</f>
        <v>0.52736286986452785</v>
      </c>
      <c r="O39" s="172">
        <f>SUM(O40:O41)</f>
        <v>48367000</v>
      </c>
      <c r="P39" s="168">
        <f t="shared" ref="P39:P52" si="6">O39/$O$59</f>
        <v>1.482600946084377E-3</v>
      </c>
      <c r="Q39" s="171">
        <f>O39/L39-1</f>
        <v>0</v>
      </c>
      <c r="R39" s="11"/>
    </row>
    <row r="40" spans="1:19" x14ac:dyDescent="0.25">
      <c r="A40" s="173" t="s">
        <v>61</v>
      </c>
      <c r="B40" s="174"/>
      <c r="C40" s="152"/>
      <c r="D40" s="153" t="s">
        <v>75</v>
      </c>
      <c r="E40" s="154"/>
      <c r="F40" s="154"/>
      <c r="G40" s="155"/>
      <c r="H40" s="175">
        <v>10000000</v>
      </c>
      <c r="I40" s="134">
        <v>11667000</v>
      </c>
      <c r="J40" s="135">
        <f>I40/$I$58</f>
        <v>5.7915520111786307E-4</v>
      </c>
      <c r="K40" s="136">
        <f t="shared" ref="K40:K57" si="7">I40/H40-1</f>
        <v>0.16670000000000007</v>
      </c>
      <c r="L40" s="137">
        <v>11667000</v>
      </c>
      <c r="M40" s="135">
        <f>L40/$L$58</f>
        <v>4.0764334676937348E-4</v>
      </c>
      <c r="N40" s="147">
        <f>L40/I40-1</f>
        <v>0</v>
      </c>
      <c r="O40" s="139">
        <v>11667000</v>
      </c>
      <c r="P40" s="135">
        <f t="shared" si="6"/>
        <v>3.5763031070701979E-4</v>
      </c>
      <c r="Q40" s="147">
        <f>O40/L40-1</f>
        <v>0</v>
      </c>
      <c r="R40" s="11"/>
    </row>
    <row r="41" spans="1:19" ht="15.75" thickBot="1" x14ac:dyDescent="0.3">
      <c r="A41" s="176" t="s">
        <v>61</v>
      </c>
      <c r="B41" s="174"/>
      <c r="C41" s="152"/>
      <c r="D41" s="174" t="s">
        <v>76</v>
      </c>
      <c r="E41" s="177"/>
      <c r="F41" s="177"/>
      <c r="G41" s="178"/>
      <c r="H41" s="175">
        <v>37000000</v>
      </c>
      <c r="I41" s="134">
        <v>20000000</v>
      </c>
      <c r="J41" s="135">
        <f>I41/$I$58</f>
        <v>9.9280912165571793E-4</v>
      </c>
      <c r="K41" s="136">
        <f t="shared" si="7"/>
        <v>-0.45945945945945943</v>
      </c>
      <c r="L41" s="137">
        <v>36700000</v>
      </c>
      <c r="M41" s="135">
        <f>L41/$L$58</f>
        <v>1.2822928624698728E-3</v>
      </c>
      <c r="N41" s="147">
        <f>L41/I41-1</f>
        <v>0.83499999999999996</v>
      </c>
      <c r="O41" s="139">
        <v>36700000</v>
      </c>
      <c r="P41" s="135">
        <f t="shared" si="6"/>
        <v>1.1249706353773572E-3</v>
      </c>
      <c r="Q41" s="147">
        <f>O41/L41-1</f>
        <v>0</v>
      </c>
      <c r="R41" s="11"/>
    </row>
    <row r="42" spans="1:19" ht="15.75" thickBot="1" x14ac:dyDescent="0.3">
      <c r="A42" s="425"/>
      <c r="B42" s="179"/>
      <c r="C42" s="165" t="s">
        <v>77</v>
      </c>
      <c r="D42" s="166"/>
      <c r="E42" s="166"/>
      <c r="F42" s="166"/>
      <c r="G42" s="166"/>
      <c r="H42" s="180">
        <f>SUM(H43:H56)</f>
        <v>561767357</v>
      </c>
      <c r="I42" s="180">
        <f>SUM(I43:I56)</f>
        <v>1431068926</v>
      </c>
      <c r="J42" s="168">
        <f>I42/$I$58</f>
        <v>7.1038914172542572E-2</v>
      </c>
      <c r="K42" s="169">
        <f t="shared" si="7"/>
        <v>1.5474405163773159</v>
      </c>
      <c r="L42" s="181">
        <f>SUM(L43:L54)</f>
        <v>388850666</v>
      </c>
      <c r="M42" s="168">
        <f>L42/$L$58</f>
        <v>1.3586387835925244E-2</v>
      </c>
      <c r="N42" s="171">
        <f>L42/I42-1</f>
        <v>-0.72827956855517662</v>
      </c>
      <c r="O42" s="182">
        <f>SUM(O43:O54,O56)</f>
        <v>982668044</v>
      </c>
      <c r="P42" s="168">
        <f t="shared" si="6"/>
        <v>3.0121871766313483E-2</v>
      </c>
      <c r="Q42" s="171">
        <f>O42/L42-1</f>
        <v>1.5271090676234049</v>
      </c>
      <c r="R42" s="11"/>
    </row>
    <row r="43" spans="1:19" x14ac:dyDescent="0.25">
      <c r="A43" s="183" t="s">
        <v>61</v>
      </c>
      <c r="B43" s="148" t="s">
        <v>65</v>
      </c>
      <c r="C43" s="152" t="s">
        <v>78</v>
      </c>
      <c r="D43" s="184" t="s">
        <v>79</v>
      </c>
      <c r="E43" s="184"/>
      <c r="F43" s="184"/>
      <c r="G43" s="184"/>
      <c r="H43" s="185"/>
      <c r="I43" s="185"/>
      <c r="J43" s="186"/>
      <c r="K43" s="187"/>
      <c r="L43" s="188"/>
      <c r="M43" s="186"/>
      <c r="N43" s="189"/>
      <c r="O43" s="190"/>
      <c r="P43" s="186">
        <f t="shared" si="6"/>
        <v>0</v>
      </c>
      <c r="Q43" s="189"/>
      <c r="R43" s="11"/>
      <c r="S43" s="11"/>
    </row>
    <row r="44" spans="1:19" x14ac:dyDescent="0.25">
      <c r="A44" s="132" t="s">
        <v>61</v>
      </c>
      <c r="B44" s="148"/>
      <c r="C44" s="152"/>
      <c r="D44" s="146" t="s">
        <v>136</v>
      </c>
      <c r="E44" s="177" t="s">
        <v>80</v>
      </c>
      <c r="F44" s="184"/>
      <c r="G44" s="184"/>
      <c r="H44" s="191">
        <v>100000000</v>
      </c>
      <c r="I44" s="191">
        <v>100000000</v>
      </c>
      <c r="J44" s="192">
        <f>I44/$I$58</f>
        <v>4.9640456082785892E-3</v>
      </c>
      <c r="K44" s="193">
        <f t="shared" si="7"/>
        <v>0</v>
      </c>
      <c r="L44" s="137">
        <v>108300000</v>
      </c>
      <c r="M44" s="192">
        <f>L44/$L$58</f>
        <v>3.7839868393865729E-3</v>
      </c>
      <c r="N44" s="147">
        <f>L44/I44-1</f>
        <v>8.2999999999999963E-2</v>
      </c>
      <c r="O44" s="139">
        <v>123462000</v>
      </c>
      <c r="P44" s="192">
        <f t="shared" si="6"/>
        <v>3.7844993074920784E-3</v>
      </c>
      <c r="Q44" s="147">
        <f>O44/L44-1</f>
        <v>0.1399999999999999</v>
      </c>
      <c r="R44" s="11"/>
      <c r="S44" s="11"/>
    </row>
    <row r="45" spans="1:19" x14ac:dyDescent="0.25">
      <c r="A45" s="183" t="s">
        <v>61</v>
      </c>
      <c r="B45" s="148"/>
      <c r="C45" s="152"/>
      <c r="D45" s="152"/>
      <c r="E45" s="177" t="s">
        <v>81</v>
      </c>
      <c r="F45" s="184"/>
      <c r="G45" s="184"/>
      <c r="H45" s="191">
        <v>15000000</v>
      </c>
      <c r="I45" s="191">
        <v>25000000</v>
      </c>
      <c r="J45" s="192">
        <f>I45/$I$58</f>
        <v>1.2410114020696473E-3</v>
      </c>
      <c r="K45" s="193">
        <f t="shared" si="7"/>
        <v>0.66666666666666674</v>
      </c>
      <c r="L45" s="137">
        <v>25000000</v>
      </c>
      <c r="M45" s="192">
        <f>L45/$L$58</f>
        <v>8.7349650032007679E-4</v>
      </c>
      <c r="N45" s="147">
        <f>L45/I45-1</f>
        <v>0</v>
      </c>
      <c r="O45" s="139">
        <v>25000000</v>
      </c>
      <c r="P45" s="192">
        <f t="shared" si="6"/>
        <v>7.6632877069302257E-4</v>
      </c>
      <c r="Q45" s="147">
        <f>O45/L45-1</f>
        <v>0</v>
      </c>
      <c r="R45" s="11"/>
      <c r="S45" s="11"/>
    </row>
    <row r="46" spans="1:19" x14ac:dyDescent="0.25">
      <c r="A46" s="183"/>
      <c r="B46" s="148" t="s">
        <v>65</v>
      </c>
      <c r="C46" s="152"/>
      <c r="D46" s="152"/>
      <c r="E46" s="177" t="s">
        <v>142</v>
      </c>
      <c r="F46" s="184"/>
      <c r="G46" s="184"/>
      <c r="H46" s="191">
        <v>11000000</v>
      </c>
      <c r="I46" s="191">
        <v>15200000</v>
      </c>
      <c r="J46" s="192">
        <f>I46/$I$58</f>
        <v>7.5453493245834563E-4</v>
      </c>
      <c r="K46" s="193">
        <f t="shared" si="7"/>
        <v>0.38181818181818183</v>
      </c>
      <c r="L46" s="137">
        <v>15200000</v>
      </c>
      <c r="M46" s="192">
        <f>L46/$L$58</f>
        <v>5.3108587219460673E-4</v>
      </c>
      <c r="N46" s="147">
        <f>L46/I46-1</f>
        <v>0</v>
      </c>
      <c r="O46" s="139">
        <v>18259000</v>
      </c>
      <c r="P46" s="192">
        <f t="shared" si="6"/>
        <v>5.59695880963356E-4</v>
      </c>
      <c r="Q46" s="147">
        <f>O46/L46-1</f>
        <v>0.20124999999999993</v>
      </c>
      <c r="R46" s="11"/>
      <c r="S46" s="11"/>
    </row>
    <row r="47" spans="1:19" x14ac:dyDescent="0.25">
      <c r="A47" s="183"/>
      <c r="B47" s="148"/>
      <c r="C47" s="152"/>
      <c r="D47" s="152"/>
      <c r="E47" s="177" t="s">
        <v>143</v>
      </c>
      <c r="F47" s="177"/>
      <c r="G47" s="177"/>
      <c r="H47" s="191">
        <v>20000000</v>
      </c>
      <c r="I47" s="191">
        <v>20000000</v>
      </c>
      <c r="J47" s="192">
        <f>I47/$I$58</f>
        <v>9.9280912165571793E-4</v>
      </c>
      <c r="K47" s="193">
        <f t="shared" si="7"/>
        <v>0</v>
      </c>
      <c r="L47" s="137">
        <v>20000000</v>
      </c>
      <c r="M47" s="192">
        <f>L47/$L$58</f>
        <v>6.9879720025606143E-4</v>
      </c>
      <c r="N47" s="147">
        <f>L47/I47-1</f>
        <v>0</v>
      </c>
      <c r="O47" s="139">
        <v>22800000</v>
      </c>
      <c r="P47" s="192">
        <f t="shared" si="6"/>
        <v>6.988918388720366E-4</v>
      </c>
      <c r="Q47" s="147">
        <f>O47/L47-1</f>
        <v>0.1399999999999999</v>
      </c>
      <c r="R47" s="11"/>
      <c r="S47" s="11"/>
    </row>
    <row r="48" spans="1:19" x14ac:dyDescent="0.25">
      <c r="A48" s="148" t="s">
        <v>61</v>
      </c>
      <c r="B48" s="148"/>
      <c r="C48" s="152"/>
      <c r="D48" s="152"/>
      <c r="E48" s="196" t="s">
        <v>222</v>
      </c>
      <c r="F48" s="196"/>
      <c r="G48" s="196"/>
      <c r="H48" s="185">
        <v>150000000</v>
      </c>
      <c r="I48" s="185">
        <v>200000000</v>
      </c>
      <c r="J48" s="186">
        <f t="shared" ref="J48:J53" si="8">I48/$I$58</f>
        <v>9.9280912165571784E-3</v>
      </c>
      <c r="K48" s="187"/>
      <c r="L48" s="194">
        <v>200000000</v>
      </c>
      <c r="M48" s="192"/>
      <c r="N48" s="147">
        <f t="shared" ref="N48:N55" si="9">L48/I48-1</f>
        <v>0</v>
      </c>
      <c r="O48" s="195">
        <v>200000000</v>
      </c>
      <c r="P48" s="192">
        <f t="shared" si="6"/>
        <v>6.1306301655441806E-3</v>
      </c>
      <c r="Q48" s="147">
        <f>O48/L48-1</f>
        <v>0</v>
      </c>
      <c r="R48" s="11"/>
      <c r="S48" s="11"/>
    </row>
    <row r="49" spans="1:20" x14ac:dyDescent="0.25">
      <c r="A49" s="148" t="s">
        <v>61</v>
      </c>
      <c r="B49" s="148"/>
      <c r="C49" s="152"/>
      <c r="D49" s="152"/>
      <c r="E49" s="196" t="s">
        <v>225</v>
      </c>
      <c r="F49" s="196"/>
      <c r="G49" s="196"/>
      <c r="H49" s="185"/>
      <c r="I49" s="185">
        <v>800000000</v>
      </c>
      <c r="J49" s="186">
        <f t="shared" si="8"/>
        <v>3.9712364866228714E-2</v>
      </c>
      <c r="K49" s="187"/>
      <c r="L49" s="194">
        <v>0</v>
      </c>
      <c r="M49" s="192"/>
      <c r="N49" s="147"/>
      <c r="O49" s="195">
        <v>0</v>
      </c>
      <c r="P49" s="192">
        <f t="shared" si="6"/>
        <v>0</v>
      </c>
      <c r="Q49" s="147"/>
      <c r="R49" s="11"/>
      <c r="S49" s="11"/>
    </row>
    <row r="50" spans="1:20" x14ac:dyDescent="0.25">
      <c r="A50" s="148" t="s">
        <v>61</v>
      </c>
      <c r="B50" s="148"/>
      <c r="C50" s="152"/>
      <c r="D50" s="152"/>
      <c r="E50" s="196" t="s">
        <v>238</v>
      </c>
      <c r="F50" s="196"/>
      <c r="G50" s="196"/>
      <c r="H50" s="185">
        <v>0</v>
      </c>
      <c r="I50" s="185">
        <v>0</v>
      </c>
      <c r="J50" s="186">
        <f t="shared" si="8"/>
        <v>0</v>
      </c>
      <c r="K50" s="187"/>
      <c r="L50" s="194">
        <v>0</v>
      </c>
      <c r="M50" s="192"/>
      <c r="N50" s="147"/>
      <c r="O50" s="195">
        <v>200000000</v>
      </c>
      <c r="P50" s="192">
        <f t="shared" si="6"/>
        <v>6.1306301655441806E-3</v>
      </c>
      <c r="Q50" s="147"/>
      <c r="R50" s="11"/>
      <c r="S50" s="11"/>
    </row>
    <row r="51" spans="1:20" x14ac:dyDescent="0.25">
      <c r="A51" s="148" t="s">
        <v>61</v>
      </c>
      <c r="B51" s="148"/>
      <c r="C51" s="152"/>
      <c r="D51" s="152"/>
      <c r="E51" s="196" t="s">
        <v>239</v>
      </c>
      <c r="F51" s="196"/>
      <c r="G51" s="196"/>
      <c r="H51" s="185">
        <v>0</v>
      </c>
      <c r="I51" s="185">
        <v>0</v>
      </c>
      <c r="J51" s="186">
        <f t="shared" si="8"/>
        <v>0</v>
      </c>
      <c r="K51" s="187"/>
      <c r="L51" s="194">
        <v>0</v>
      </c>
      <c r="M51" s="192"/>
      <c r="N51" s="147"/>
      <c r="O51" s="195">
        <v>260000000</v>
      </c>
      <c r="P51" s="192">
        <f t="shared" si="6"/>
        <v>7.9698192152074347E-3</v>
      </c>
      <c r="Q51" s="147"/>
      <c r="R51" s="11"/>
      <c r="S51" s="11"/>
    </row>
    <row r="52" spans="1:20" x14ac:dyDescent="0.25">
      <c r="A52" s="148" t="s">
        <v>61</v>
      </c>
      <c r="B52" s="148"/>
      <c r="C52" s="152"/>
      <c r="D52" s="152"/>
      <c r="E52" s="196" t="s">
        <v>240</v>
      </c>
      <c r="F52" s="196"/>
      <c r="G52" s="196"/>
      <c r="H52" s="185">
        <v>0</v>
      </c>
      <c r="I52" s="185">
        <v>0</v>
      </c>
      <c r="J52" s="186">
        <f t="shared" si="8"/>
        <v>0</v>
      </c>
      <c r="K52" s="187"/>
      <c r="L52" s="194">
        <v>0</v>
      </c>
      <c r="M52" s="192"/>
      <c r="N52" s="147"/>
      <c r="O52" s="195">
        <v>6800000</v>
      </c>
      <c r="P52" s="192">
        <f t="shared" si="6"/>
        <v>2.0844142562850216E-4</v>
      </c>
      <c r="Q52" s="147"/>
      <c r="R52" s="11"/>
      <c r="S52" s="11"/>
    </row>
    <row r="53" spans="1:20" x14ac:dyDescent="0.25">
      <c r="A53" s="148" t="s">
        <v>61</v>
      </c>
      <c r="B53" s="148"/>
      <c r="C53" s="152"/>
      <c r="D53" s="152"/>
      <c r="E53" s="196" t="s">
        <v>221</v>
      </c>
      <c r="F53" s="196"/>
      <c r="G53" s="196"/>
      <c r="H53" s="185">
        <v>120000000</v>
      </c>
      <c r="I53" s="185">
        <v>133200000</v>
      </c>
      <c r="J53" s="186">
        <f t="shared" si="8"/>
        <v>6.6121087502270812E-3</v>
      </c>
      <c r="K53" s="187"/>
      <c r="L53" s="194">
        <v>0</v>
      </c>
      <c r="M53" s="192"/>
      <c r="N53" s="147">
        <f t="shared" si="9"/>
        <v>-1</v>
      </c>
      <c r="O53" s="195">
        <v>0</v>
      </c>
      <c r="P53" s="192">
        <f>O53/$O$59</f>
        <v>0</v>
      </c>
      <c r="Q53" s="147"/>
      <c r="R53" s="11"/>
      <c r="S53" s="11"/>
    </row>
    <row r="54" spans="1:20" x14ac:dyDescent="0.25">
      <c r="A54" s="183" t="s">
        <v>61</v>
      </c>
      <c r="B54" s="148" t="s">
        <v>65</v>
      </c>
      <c r="C54" s="152"/>
      <c r="D54" s="152"/>
      <c r="E54" s="196" t="s">
        <v>82</v>
      </c>
      <c r="F54" s="196"/>
      <c r="G54" s="196"/>
      <c r="H54" s="185">
        <v>45767357</v>
      </c>
      <c r="I54" s="185">
        <v>37668926</v>
      </c>
      <c r="J54" s="186">
        <f>I54/$I$58</f>
        <v>1.8699026667887118E-3</v>
      </c>
      <c r="K54" s="187">
        <f t="shared" si="7"/>
        <v>-0.17694775339550417</v>
      </c>
      <c r="L54" s="194">
        <v>20350666</v>
      </c>
      <c r="M54" s="192">
        <f>L54/$L$58</f>
        <v>7.1104942120731106E-4</v>
      </c>
      <c r="N54" s="147">
        <f t="shared" si="9"/>
        <v>-0.45974923734220619</v>
      </c>
      <c r="O54" s="195">
        <v>122388044</v>
      </c>
      <c r="P54" s="192">
        <f>O54/$O$59</f>
        <v>3.7515791722417422E-3</v>
      </c>
      <c r="Q54" s="147">
        <f>O54/L54-1</f>
        <v>5.0139576758814677</v>
      </c>
      <c r="R54" s="11"/>
      <c r="S54" s="11"/>
      <c r="T54" s="11"/>
    </row>
    <row r="55" spans="1:20" x14ac:dyDescent="0.25">
      <c r="A55" s="183" t="s">
        <v>61</v>
      </c>
      <c r="B55" s="148"/>
      <c r="C55" s="799" t="s">
        <v>149</v>
      </c>
      <c r="D55" s="800"/>
      <c r="E55" s="800"/>
      <c r="F55" s="800"/>
      <c r="G55" s="801"/>
      <c r="H55" s="185">
        <v>100000000</v>
      </c>
      <c r="I55" s="185">
        <v>100000000</v>
      </c>
      <c r="J55" s="186">
        <f t="shared" ref="J55:J56" si="10">I55/$I$58</f>
        <v>4.9640456082785892E-3</v>
      </c>
      <c r="K55" s="193"/>
      <c r="L55" s="194">
        <v>100000000</v>
      </c>
      <c r="M55" s="186">
        <f>L55/$L$58</f>
        <v>3.4939860012803072E-3</v>
      </c>
      <c r="N55" s="147">
        <f t="shared" si="9"/>
        <v>0</v>
      </c>
      <c r="O55" s="195">
        <v>200000000</v>
      </c>
      <c r="P55" s="186">
        <f>O55/$O$59</f>
        <v>6.1306301655441806E-3</v>
      </c>
      <c r="Q55" s="147">
        <f t="shared" ref="Q55" si="11">O55/L55-1</f>
        <v>1</v>
      </c>
      <c r="R55" s="11"/>
      <c r="S55" s="11"/>
    </row>
    <row r="56" spans="1:20" ht="15.75" thickBot="1" x14ac:dyDescent="0.3">
      <c r="A56" s="183" t="s">
        <v>61</v>
      </c>
      <c r="B56" s="148"/>
      <c r="C56" s="812" t="s">
        <v>270</v>
      </c>
      <c r="D56" s="813"/>
      <c r="E56" s="813"/>
      <c r="F56" s="813"/>
      <c r="G56" s="814"/>
      <c r="H56" s="185">
        <v>0</v>
      </c>
      <c r="I56" s="185">
        <v>0</v>
      </c>
      <c r="J56" s="186">
        <f t="shared" si="10"/>
        <v>0</v>
      </c>
      <c r="K56" s="187"/>
      <c r="L56" s="194">
        <v>0</v>
      </c>
      <c r="M56" s="192">
        <f t="shared" ref="M56" si="12">L56/$L$58</f>
        <v>0</v>
      </c>
      <c r="N56" s="147"/>
      <c r="O56" s="584">
        <v>3959000</v>
      </c>
      <c r="P56" s="192">
        <f t="shared" ref="P56" si="13">O56/$O$59</f>
        <v>1.2135582412694706E-4</v>
      </c>
      <c r="Q56" s="147"/>
      <c r="R56" s="11"/>
      <c r="S56" s="11"/>
    </row>
    <row r="57" spans="1:20" ht="15.75" thickBot="1" x14ac:dyDescent="0.3">
      <c r="A57" s="197"/>
      <c r="B57" s="198"/>
      <c r="C57" s="199" t="s">
        <v>83</v>
      </c>
      <c r="D57" s="200"/>
      <c r="E57" s="200"/>
      <c r="F57" s="200"/>
      <c r="G57" s="200"/>
      <c r="H57" s="201">
        <f>+H39+H42</f>
        <v>608767357</v>
      </c>
      <c r="I57" s="201">
        <f>+I39+I42</f>
        <v>1462735926</v>
      </c>
      <c r="J57" s="202">
        <f>I57/$I$58</f>
        <v>7.2610878495316153E-2</v>
      </c>
      <c r="K57" s="203">
        <f t="shared" si="7"/>
        <v>1.4027831144040794</v>
      </c>
      <c r="L57" s="204">
        <f>+L39+L42+L55+L56</f>
        <v>537217666</v>
      </c>
      <c r="M57" s="202">
        <f>L57/$L$59</f>
        <v>1.8770310046444798E-2</v>
      </c>
      <c r="N57" s="205">
        <f>L57/I57-1</f>
        <v>-0.63273092808414422</v>
      </c>
      <c r="O57" s="592">
        <f>+O39+O42+O55</f>
        <v>1231035044</v>
      </c>
      <c r="P57" s="202">
        <f>O57/$O$59</f>
        <v>3.7735102877942038E-2</v>
      </c>
      <c r="Q57" s="205">
        <f>O57/L57-1</f>
        <v>1.2915014190914564</v>
      </c>
      <c r="R57" s="11"/>
      <c r="S57" s="11"/>
      <c r="T57" s="11"/>
    </row>
    <row r="58" spans="1:20" ht="6" customHeight="1" thickBot="1" x14ac:dyDescent="0.3">
      <c r="A58" s="206"/>
      <c r="B58" s="207"/>
      <c r="C58" s="208"/>
      <c r="D58" s="208"/>
      <c r="E58" s="208"/>
      <c r="F58" s="208"/>
      <c r="G58" s="208"/>
      <c r="H58" s="209">
        <v>19907272</v>
      </c>
      <c r="I58" s="209">
        <v>20144859232</v>
      </c>
      <c r="J58" s="210">
        <f>I58/$I$58</f>
        <v>1</v>
      </c>
      <c r="K58" s="211"/>
      <c r="L58" s="212">
        <f>L59</f>
        <v>28620606941</v>
      </c>
      <c r="M58" s="210"/>
      <c r="N58" s="213"/>
      <c r="O58" s="584"/>
      <c r="P58" s="210">
        <f>O58/$O$59</f>
        <v>0</v>
      </c>
      <c r="Q58" s="213"/>
      <c r="R58" s="11"/>
    </row>
    <row r="59" spans="1:20" ht="16.5" thickBot="1" x14ac:dyDescent="0.3">
      <c r="A59" s="426"/>
      <c r="B59" s="427"/>
      <c r="C59" s="428" t="s">
        <v>137</v>
      </c>
      <c r="D59" s="429"/>
      <c r="E59" s="429"/>
      <c r="F59" s="429"/>
      <c r="G59" s="430"/>
      <c r="H59" s="233">
        <f>+H20+H29+H36+H57</f>
        <v>27329459232</v>
      </c>
      <c r="I59" s="233">
        <f>+I20+I29+I36+I57</f>
        <v>28632813001</v>
      </c>
      <c r="J59" s="202">
        <f>I59/$I$58</f>
        <v>1.4213458963027614</v>
      </c>
      <c r="K59" s="203">
        <f>I59/H59-1</f>
        <v>4.7690433899032492E-2</v>
      </c>
      <c r="L59" s="431">
        <f>+L20+L29+L36+L57</f>
        <v>28620606941</v>
      </c>
      <c r="M59" s="202">
        <f>L59/$L$59</f>
        <v>1</v>
      </c>
      <c r="N59" s="205">
        <f>L59/I59-1</f>
        <v>-4.262962217359556E-4</v>
      </c>
      <c r="O59" s="432">
        <f>+O20+O29+O36+O57</f>
        <v>32623073746</v>
      </c>
      <c r="P59" s="202">
        <f>O59/$O$59</f>
        <v>1</v>
      </c>
      <c r="Q59" s="205">
        <f>O59/L59-1</f>
        <v>0.13984562987259119</v>
      </c>
      <c r="R59" s="11"/>
      <c r="S59" s="443"/>
    </row>
    <row r="60" spans="1:20" ht="15.75" thickBot="1" x14ac:dyDescent="0.3">
      <c r="L60" s="11"/>
      <c r="R60" s="11"/>
    </row>
    <row r="61" spans="1:20" ht="15.75" x14ac:dyDescent="0.25">
      <c r="A61" s="435"/>
      <c r="B61" s="436"/>
      <c r="C61" s="437" t="s">
        <v>138</v>
      </c>
      <c r="D61" s="438"/>
      <c r="E61" s="438"/>
      <c r="F61" s="438"/>
      <c r="G61" s="438"/>
      <c r="H61" s="126">
        <v>1235994748</v>
      </c>
      <c r="I61" s="598">
        <v>2245994748</v>
      </c>
      <c r="J61" s="439"/>
      <c r="K61" s="440"/>
      <c r="L61" s="602">
        <v>2245994748</v>
      </c>
      <c r="M61" s="439"/>
      <c r="N61" s="441"/>
      <c r="O61" s="442">
        <v>2245994748</v>
      </c>
      <c r="P61" s="439"/>
      <c r="Q61" s="441"/>
      <c r="R61" s="11"/>
      <c r="S61" s="443"/>
    </row>
    <row r="62" spans="1:20" ht="15.75" x14ac:dyDescent="0.25">
      <c r="A62" s="214"/>
      <c r="B62" s="215"/>
      <c r="C62" s="216" t="s">
        <v>214</v>
      </c>
      <c r="D62" s="217"/>
      <c r="E62" s="217"/>
      <c r="F62" s="217"/>
      <c r="G62" s="217"/>
      <c r="H62" s="134">
        <v>36223000</v>
      </c>
      <c r="I62" s="599">
        <v>36223000</v>
      </c>
      <c r="J62" s="218"/>
      <c r="K62" s="219"/>
      <c r="L62" s="603">
        <v>36223000</v>
      </c>
      <c r="M62" s="218"/>
      <c r="N62" s="220"/>
      <c r="O62" s="221">
        <v>36223000</v>
      </c>
      <c r="P62" s="218"/>
      <c r="Q62" s="220"/>
      <c r="R62" s="443"/>
      <c r="S62" s="443"/>
      <c r="T62" s="443"/>
    </row>
    <row r="63" spans="1:20" ht="16.5" thickBot="1" x14ac:dyDescent="0.3">
      <c r="A63" s="222"/>
      <c r="B63" s="223"/>
      <c r="C63" s="224" t="s">
        <v>139</v>
      </c>
      <c r="D63" s="225"/>
      <c r="E63" s="225"/>
      <c r="F63" s="225"/>
      <c r="G63" s="225"/>
      <c r="H63" s="226">
        <v>27329459232</v>
      </c>
      <c r="I63" s="600">
        <v>28632813001</v>
      </c>
      <c r="J63" s="227"/>
      <c r="K63" s="228"/>
      <c r="L63" s="604">
        <v>28620606941</v>
      </c>
      <c r="M63" s="227"/>
      <c r="N63" s="229"/>
      <c r="O63" s="230">
        <f>O59</f>
        <v>32623073746</v>
      </c>
      <c r="P63" s="227"/>
      <c r="Q63" s="229"/>
      <c r="R63" s="443"/>
      <c r="S63" s="779"/>
      <c r="T63" s="443"/>
    </row>
    <row r="64" spans="1:20" ht="16.5" thickBot="1" x14ac:dyDescent="0.3">
      <c r="A64" s="231"/>
      <c r="B64" s="232"/>
      <c r="C64" s="797" t="s">
        <v>84</v>
      </c>
      <c r="D64" s="798"/>
      <c r="E64" s="798"/>
      <c r="F64" s="798"/>
      <c r="G64" s="798"/>
      <c r="H64" s="233"/>
      <c r="I64" s="601">
        <f>SUM(I61:I63)</f>
        <v>30915030749</v>
      </c>
      <c r="J64" s="202"/>
      <c r="K64" s="203"/>
      <c r="L64" s="605">
        <f>SUM(L61:L63)</f>
        <v>30902824689</v>
      </c>
      <c r="M64" s="202"/>
      <c r="N64" s="205"/>
      <c r="O64" s="433">
        <f>SUM(O61:O63)</f>
        <v>34905291494</v>
      </c>
      <c r="P64" s="202"/>
      <c r="Q64" s="205"/>
      <c r="R64" s="11"/>
    </row>
    <row r="65" spans="1:17" x14ac:dyDescent="0.25">
      <c r="A65" s="234"/>
      <c r="B65" s="234"/>
      <c r="C65" s="234"/>
      <c r="D65" s="234"/>
      <c r="E65" s="234"/>
      <c r="F65" s="234"/>
      <c r="G65" s="234"/>
      <c r="H65" s="235"/>
      <c r="I65" s="236"/>
      <c r="J65" s="237"/>
      <c r="K65" s="238"/>
      <c r="L65" s="238"/>
      <c r="M65" s="237"/>
      <c r="N65" s="238"/>
      <c r="O65" s="238"/>
      <c r="P65" s="239"/>
      <c r="Q65" s="239"/>
    </row>
    <row r="66" spans="1:17" ht="15.75" x14ac:dyDescent="0.25">
      <c r="A66" s="234"/>
      <c r="B66" s="234"/>
      <c r="C66" s="240" t="s">
        <v>213</v>
      </c>
      <c r="D66" s="234"/>
      <c r="E66" s="234"/>
      <c r="F66" s="234"/>
      <c r="G66" s="234"/>
      <c r="H66" s="235"/>
      <c r="I66" s="236"/>
      <c r="J66" s="237"/>
      <c r="K66" s="238"/>
      <c r="L66" s="238"/>
      <c r="M66" s="237"/>
      <c r="N66" s="238"/>
      <c r="O66" s="238"/>
      <c r="P66" s="239"/>
      <c r="Q66" s="239"/>
    </row>
    <row r="67" spans="1:17" x14ac:dyDescent="0.25">
      <c r="A67" s="234"/>
      <c r="B67" s="234"/>
      <c r="C67" s="795" t="s">
        <v>85</v>
      </c>
      <c r="D67" s="795"/>
      <c r="E67" s="795"/>
      <c r="F67" s="795"/>
      <c r="G67" s="795"/>
      <c r="H67" s="715">
        <f>SUM(H20,H23,H25,H27,H33,H39,H44,H45,H48,H49,H53,H55,H56)</f>
        <v>26950691875</v>
      </c>
      <c r="I67" s="242">
        <f>SUM(I20,I23,I25,I27,I33,I39,I44,I45,I48,I49,I53,I55,I56)</f>
        <v>28252944075</v>
      </c>
      <c r="J67" s="241"/>
      <c r="K67" s="242"/>
      <c r="L67" s="242">
        <f>SUM(L20,L23,L25,L27,L33,L39,L44,L45,L48,L49,L53,L55,L56)</f>
        <v>28258056275</v>
      </c>
      <c r="M67" s="241"/>
      <c r="N67" s="242"/>
      <c r="O67" s="242">
        <f>SUM(O20,O23,O25,O27,O33,O39,O44,O45,O48,O49,O53,O55,O56,O34,O35,O50,O51,O52)</f>
        <v>32313601300</v>
      </c>
      <c r="P67" s="239"/>
      <c r="Q67" s="476"/>
    </row>
    <row r="68" spans="1:17" x14ac:dyDescent="0.25">
      <c r="A68" s="234"/>
      <c r="B68" s="234"/>
      <c r="C68" s="795" t="s">
        <v>86</v>
      </c>
      <c r="D68" s="795"/>
      <c r="E68" s="795"/>
      <c r="F68" s="795"/>
      <c r="G68" s="795"/>
      <c r="H68" s="715">
        <f>H24+H26+H28+H34+H35+H46+H47</f>
        <v>333000000</v>
      </c>
      <c r="I68" s="242">
        <f>I24+I26+I28+I34+I35+I46+I47</f>
        <v>342200000</v>
      </c>
      <c r="J68" s="241"/>
      <c r="K68" s="242"/>
      <c r="L68" s="242">
        <f>L24+L26+L28+L34+L35+L46+L47</f>
        <v>342200000</v>
      </c>
      <c r="M68" s="241"/>
      <c r="N68" s="242"/>
      <c r="O68" s="242">
        <f>O24+O26+O28+O46</f>
        <v>164284402</v>
      </c>
      <c r="P68" s="239"/>
      <c r="Q68" s="239"/>
    </row>
    <row r="69" spans="1:17" x14ac:dyDescent="0.25">
      <c r="A69" s="234"/>
      <c r="B69" s="234"/>
      <c r="C69" s="795" t="s">
        <v>268</v>
      </c>
      <c r="D69" s="795"/>
      <c r="E69" s="795"/>
      <c r="F69" s="795"/>
      <c r="G69" s="795"/>
      <c r="H69" s="715">
        <f>H54</f>
        <v>45767357</v>
      </c>
      <c r="I69" s="242">
        <f>I54</f>
        <v>37668926</v>
      </c>
      <c r="J69" s="241"/>
      <c r="K69" s="242"/>
      <c r="L69" s="242">
        <f>L54</f>
        <v>20350666</v>
      </c>
      <c r="M69" s="241"/>
      <c r="N69" s="242"/>
      <c r="O69" s="242">
        <f>O54+O47</f>
        <v>145188044</v>
      </c>
      <c r="P69" s="239"/>
      <c r="Q69" s="239"/>
    </row>
    <row r="70" spans="1:17" x14ac:dyDescent="0.25">
      <c r="A70" s="234"/>
      <c r="B70" s="234"/>
      <c r="C70" s="434"/>
      <c r="D70" s="434"/>
      <c r="E70" s="434"/>
      <c r="F70" s="434"/>
      <c r="G70" s="434"/>
      <c r="H70" s="235"/>
      <c r="I70" s="236"/>
      <c r="J70" s="237"/>
      <c r="K70" s="238"/>
      <c r="L70" s="238"/>
      <c r="M70" s="237"/>
      <c r="N70" s="238"/>
      <c r="O70" s="238"/>
      <c r="P70" s="239"/>
      <c r="Q70" s="239"/>
    </row>
    <row r="71" spans="1:17" ht="16.5" x14ac:dyDescent="0.25">
      <c r="A71" s="243" t="s">
        <v>140</v>
      </c>
      <c r="B71" s="796" t="s">
        <v>87</v>
      </c>
      <c r="C71" s="796"/>
      <c r="D71" s="796"/>
      <c r="E71" s="796"/>
      <c r="F71" s="796"/>
      <c r="G71" s="796"/>
      <c r="H71" s="796"/>
      <c r="I71" s="796"/>
      <c r="J71" s="796"/>
      <c r="K71" s="796"/>
      <c r="L71" s="796"/>
      <c r="M71" s="796"/>
      <c r="N71" s="796"/>
      <c r="O71" s="796"/>
      <c r="P71" s="796"/>
      <c r="Q71" s="796"/>
    </row>
    <row r="72" spans="1:17" ht="16.5" x14ac:dyDescent="0.25">
      <c r="A72" s="243" t="s">
        <v>141</v>
      </c>
      <c r="B72" s="796" t="s">
        <v>271</v>
      </c>
      <c r="C72" s="796"/>
      <c r="D72" s="796"/>
      <c r="E72" s="796"/>
      <c r="F72" s="796"/>
      <c r="G72" s="796"/>
      <c r="H72" s="796"/>
      <c r="I72" s="796"/>
      <c r="J72" s="796"/>
      <c r="K72" s="796"/>
      <c r="L72" s="796"/>
      <c r="M72" s="796"/>
      <c r="N72" s="796"/>
      <c r="O72" s="796"/>
      <c r="P72" s="796"/>
      <c r="Q72" s="796"/>
    </row>
    <row r="73" spans="1:17" ht="27.75" customHeight="1" x14ac:dyDescent="0.25">
      <c r="A73" s="243"/>
      <c r="B73" s="794"/>
      <c r="C73" s="794"/>
      <c r="D73" s="794"/>
      <c r="E73" s="794"/>
      <c r="F73" s="794"/>
      <c r="G73" s="794"/>
      <c r="H73" s="794"/>
      <c r="I73" s="794"/>
      <c r="J73" s="794"/>
      <c r="K73" s="794"/>
      <c r="L73" s="794"/>
      <c r="M73" s="794"/>
      <c r="N73" s="794"/>
      <c r="O73" s="794"/>
      <c r="P73" s="794"/>
      <c r="Q73" s="794"/>
    </row>
    <row r="74" spans="1:17" ht="16.5" x14ac:dyDescent="0.25">
      <c r="A74" s="243"/>
    </row>
    <row r="75" spans="1:17" ht="21" x14ac:dyDescent="0.25">
      <c r="A75" s="544" t="s">
        <v>209</v>
      </c>
      <c r="B75" s="543"/>
    </row>
  </sheetData>
  <mergeCells count="47">
    <mergeCell ref="A1:Q1"/>
    <mergeCell ref="A6:D6"/>
    <mergeCell ref="J6:K6"/>
    <mergeCell ref="A4:D4"/>
    <mergeCell ref="J4:K4"/>
    <mergeCell ref="A5:D5"/>
    <mergeCell ref="J5:K5"/>
    <mergeCell ref="A10:A12"/>
    <mergeCell ref="B10:B12"/>
    <mergeCell ref="C10:G12"/>
    <mergeCell ref="H10:H12"/>
    <mergeCell ref="I10:I12"/>
    <mergeCell ref="A7:D7"/>
    <mergeCell ref="J7:K7"/>
    <mergeCell ref="A8:H8"/>
    <mergeCell ref="J8:K8"/>
    <mergeCell ref="A9:I9"/>
    <mergeCell ref="C20:G20"/>
    <mergeCell ref="J10:J12"/>
    <mergeCell ref="K10:K12"/>
    <mergeCell ref="L10:L12"/>
    <mergeCell ref="M10:M12"/>
    <mergeCell ref="P10:P12"/>
    <mergeCell ref="Q10:Q12"/>
    <mergeCell ref="C13:G13"/>
    <mergeCell ref="C16:G16"/>
    <mergeCell ref="C17:G17"/>
    <mergeCell ref="N10:N12"/>
    <mergeCell ref="O10:O12"/>
    <mergeCell ref="C64:G64"/>
    <mergeCell ref="C55:G55"/>
    <mergeCell ref="C23:G23"/>
    <mergeCell ref="C24:G24"/>
    <mergeCell ref="C25:G25"/>
    <mergeCell ref="C26:G26"/>
    <mergeCell ref="C27:G27"/>
    <mergeCell ref="C28:G28"/>
    <mergeCell ref="C29:G29"/>
    <mergeCell ref="C32:G32"/>
    <mergeCell ref="C36:G36"/>
    <mergeCell ref="C56:G56"/>
    <mergeCell ref="B73:Q73"/>
    <mergeCell ref="C67:G67"/>
    <mergeCell ref="C68:G68"/>
    <mergeCell ref="C69:G69"/>
    <mergeCell ref="B71:Q71"/>
    <mergeCell ref="B72:Q72"/>
  </mergeCells>
  <hyperlinks>
    <hyperlink ref="A75" location="'0 Seznam'!A1" display="Seznam" xr:uid="{4F751480-CE93-4A34-902B-71FC74CA716B}"/>
  </hyperlinks>
  <pageMargins left="0.70866141732283472" right="0.70866141732283472" top="0.78740157480314965" bottom="0.78740157480314965" header="0.31496062992125984" footer="0.31496062992125984"/>
  <pageSetup paperSize="8" scale="61" orientation="landscape" r:id="rId1"/>
  <headerFooter>
    <oddHeader xml:space="preserve">&amp;LČ. j.: 842/2025-1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9D08E"/>
    <pageSetUpPr fitToPage="1"/>
  </sheetPr>
  <dimension ref="A1:T37"/>
  <sheetViews>
    <sheetView zoomScale="85" zoomScaleNormal="85" workbookViewId="0">
      <selection activeCell="D39" sqref="D39"/>
    </sheetView>
  </sheetViews>
  <sheetFormatPr defaultRowHeight="15" x14ac:dyDescent="0.25"/>
  <cols>
    <col min="1" max="1" width="10.5703125" customWidth="1"/>
    <col min="2" max="2" width="45.85546875" customWidth="1"/>
    <col min="3" max="8" width="11" customWidth="1"/>
    <col min="9" max="10" width="10.7109375" customWidth="1"/>
    <col min="11" max="16" width="11" customWidth="1"/>
    <col min="17" max="18" width="15.85546875" customWidth="1"/>
    <col min="19" max="19" width="15.42578125" customWidth="1"/>
    <col min="20" max="20" width="16.42578125" customWidth="1"/>
  </cols>
  <sheetData>
    <row r="1" spans="1:20" ht="27.75" x14ac:dyDescent="0.25">
      <c r="A1" s="299" t="s">
        <v>241</v>
      </c>
    </row>
    <row r="2" spans="1:20" ht="28.5" thickBot="1" x14ac:dyDescent="0.3">
      <c r="A2" s="299"/>
    </row>
    <row r="3" spans="1:20" ht="15.75" customHeight="1" thickBot="1" x14ac:dyDescent="0.3">
      <c r="A3" s="882" t="s">
        <v>99</v>
      </c>
      <c r="B3" s="883"/>
      <c r="C3" s="300"/>
      <c r="D3" s="301"/>
      <c r="E3" s="301"/>
      <c r="F3" s="606">
        <v>0.2</v>
      </c>
      <c r="G3" s="300"/>
      <c r="H3" s="606">
        <v>0.05</v>
      </c>
      <c r="I3" s="301"/>
      <c r="J3" s="606">
        <v>0.05</v>
      </c>
      <c r="K3" s="300"/>
      <c r="L3" s="606">
        <v>0.1</v>
      </c>
      <c r="M3" s="300"/>
      <c r="N3" s="606">
        <v>0.5</v>
      </c>
      <c r="O3" s="607"/>
      <c r="P3" s="608">
        <v>3.5000000000000003E-2</v>
      </c>
      <c r="Q3" s="607"/>
      <c r="R3" s="608">
        <v>6.5000000000000002E-2</v>
      </c>
      <c r="S3" s="609">
        <f>SUM(F3:R3)</f>
        <v>1</v>
      </c>
      <c r="T3" s="610">
        <v>5.613349108840128E-2</v>
      </c>
    </row>
    <row r="4" spans="1:20" ht="30" customHeight="1" x14ac:dyDescent="0.25">
      <c r="A4" s="884" t="s">
        <v>2</v>
      </c>
      <c r="B4" s="886" t="s">
        <v>3</v>
      </c>
      <c r="C4" s="888" t="s">
        <v>100</v>
      </c>
      <c r="D4" s="889"/>
      <c r="E4" s="889"/>
      <c r="F4" s="890"/>
      <c r="G4" s="891" t="s">
        <v>101</v>
      </c>
      <c r="H4" s="892"/>
      <c r="I4" s="891" t="s">
        <v>272</v>
      </c>
      <c r="J4" s="892"/>
      <c r="K4" s="891" t="s">
        <v>102</v>
      </c>
      <c r="L4" s="892"/>
      <c r="M4" s="891" t="s">
        <v>103</v>
      </c>
      <c r="N4" s="892"/>
      <c r="O4" s="891" t="s">
        <v>146</v>
      </c>
      <c r="P4" s="892"/>
      <c r="Q4" s="891" t="s">
        <v>104</v>
      </c>
      <c r="R4" s="892"/>
      <c r="S4" s="893" t="s">
        <v>105</v>
      </c>
      <c r="T4" s="893" t="s">
        <v>106</v>
      </c>
    </row>
    <row r="5" spans="1:20" ht="15.75" thickBot="1" x14ac:dyDescent="0.3">
      <c r="A5" s="885"/>
      <c r="B5" s="887"/>
      <c r="C5" s="302" t="s">
        <v>107</v>
      </c>
      <c r="D5" s="303" t="s">
        <v>108</v>
      </c>
      <c r="E5" s="304" t="s">
        <v>28</v>
      </c>
      <c r="F5" s="305" t="s">
        <v>109</v>
      </c>
      <c r="G5" s="306" t="s">
        <v>28</v>
      </c>
      <c r="H5" s="307" t="s">
        <v>109</v>
      </c>
      <c r="I5" s="306" t="s">
        <v>28</v>
      </c>
      <c r="J5" s="307" t="s">
        <v>109</v>
      </c>
      <c r="K5" s="306" t="s">
        <v>28</v>
      </c>
      <c r="L5" s="307" t="s">
        <v>109</v>
      </c>
      <c r="M5" s="306" t="s">
        <v>28</v>
      </c>
      <c r="N5" s="307" t="s">
        <v>109</v>
      </c>
      <c r="O5" s="306" t="s">
        <v>28</v>
      </c>
      <c r="P5" s="307" t="s">
        <v>109</v>
      </c>
      <c r="Q5" s="306" t="s">
        <v>28</v>
      </c>
      <c r="R5" s="307" t="s">
        <v>109</v>
      </c>
      <c r="S5" s="894"/>
      <c r="T5" s="894"/>
    </row>
    <row r="6" spans="1:20" x14ac:dyDescent="0.25">
      <c r="A6" s="308">
        <v>51000</v>
      </c>
      <c r="B6" s="309" t="s">
        <v>23</v>
      </c>
      <c r="C6" s="611"/>
      <c r="D6" s="612"/>
      <c r="E6" s="613"/>
      <c r="F6" s="614">
        <f>0.5*F12+0.3*F18+0.2*F24</f>
        <v>0.38302822468838293</v>
      </c>
      <c r="G6" s="611"/>
      <c r="H6" s="614">
        <f>H12</f>
        <v>0.45803888708639834</v>
      </c>
      <c r="I6" s="615"/>
      <c r="J6" s="615">
        <f>0.5*J12+0.3*J18+0.2*J24</f>
        <v>0.46191395281434794</v>
      </c>
      <c r="K6" s="611"/>
      <c r="L6" s="615">
        <f>L12</f>
        <v>0.49491300052501519</v>
      </c>
      <c r="M6" s="611"/>
      <c r="N6" s="614">
        <f>N12</f>
        <v>0.42818495914844273</v>
      </c>
      <c r="O6" s="611"/>
      <c r="P6" s="615">
        <f>P12</f>
        <v>0.82733102634069533</v>
      </c>
      <c r="Q6" s="611"/>
      <c r="R6" s="614">
        <f>0.5*R18+0.3*R24+0.2*R30</f>
        <v>0.35130720397810622</v>
      </c>
      <c r="S6" s="616">
        <f t="array" ref="S6">SUM($C$3:$R$3*C6:R6)</f>
        <v>0.43797862073993804</v>
      </c>
      <c r="T6" s="617">
        <f>S6*$T$3</f>
        <v>2.4585269004215596E-2</v>
      </c>
    </row>
    <row r="7" spans="1:20" x14ac:dyDescent="0.25">
      <c r="A7" s="308">
        <v>52000</v>
      </c>
      <c r="B7" s="310" t="s">
        <v>24</v>
      </c>
      <c r="C7" s="612"/>
      <c r="D7" s="612"/>
      <c r="E7" s="612"/>
      <c r="F7" s="618">
        <f t="shared" ref="F7:F9" si="0">0.5*F13+0.3*F19+0.2*F25</f>
        <v>0.1890836012692006</v>
      </c>
      <c r="G7" s="619"/>
      <c r="H7" s="618">
        <f t="shared" ref="H7:H9" si="1">H13</f>
        <v>0.10798342564960971</v>
      </c>
      <c r="I7" s="620"/>
      <c r="J7" s="620">
        <f t="shared" ref="J7:J9" si="2">0.5*J13+0.3*J19+0.2*J25</f>
        <v>9.6973633561681899E-2</v>
      </c>
      <c r="K7" s="619"/>
      <c r="L7" s="620">
        <f t="shared" ref="L7:L9" si="3">L13</f>
        <v>0.13216649637401906</v>
      </c>
      <c r="M7" s="619"/>
      <c r="N7" s="618">
        <f t="shared" ref="N7:N9" si="4">N13</f>
        <v>0.14552129592028534</v>
      </c>
      <c r="O7" s="619"/>
      <c r="P7" s="620">
        <f t="shared" ref="P7:P9" si="5">P13</f>
        <v>2.790468644771284E-2</v>
      </c>
      <c r="Q7" s="619"/>
      <c r="R7" s="618">
        <f t="shared" ref="R7:R9" si="6">0.5*R19+0.3*R25+0.2*R31</f>
        <v>6.0144343745369609E-2</v>
      </c>
      <c r="S7" s="621">
        <f t="array" ref="S7">SUM($C$3:$R$3*C7:R7)</f>
        <v>0.13892791718106828</v>
      </c>
      <c r="T7" s="622">
        <f>S7*$T$3</f>
        <v>7.7985090010136478E-3</v>
      </c>
    </row>
    <row r="8" spans="1:20" x14ac:dyDescent="0.25">
      <c r="A8" s="308">
        <v>53000</v>
      </c>
      <c r="B8" s="310" t="s">
        <v>25</v>
      </c>
      <c r="C8" s="612"/>
      <c r="D8" s="612"/>
      <c r="E8" s="612"/>
      <c r="F8" s="620">
        <f t="shared" si="0"/>
        <v>0.25250692287543886</v>
      </c>
      <c r="G8" s="619"/>
      <c r="H8" s="618">
        <f t="shared" si="1"/>
        <v>0.18006129862242523</v>
      </c>
      <c r="I8" s="620"/>
      <c r="J8" s="620">
        <f t="shared" si="2"/>
        <v>0.16711502900720299</v>
      </c>
      <c r="K8" s="619"/>
      <c r="L8" s="620">
        <f t="shared" si="3"/>
        <v>0.24371091802143091</v>
      </c>
      <c r="M8" s="619"/>
      <c r="N8" s="618">
        <f t="shared" si="4"/>
        <v>0.18327072983261125</v>
      </c>
      <c r="O8" s="619"/>
      <c r="P8" s="620">
        <f t="shared" si="5"/>
        <v>0.13942925602662382</v>
      </c>
      <c r="Q8" s="619"/>
      <c r="R8" s="618">
        <f t="shared" si="6"/>
        <v>0.49662700562559564</v>
      </c>
      <c r="S8" s="622">
        <f t="array" ref="S8">SUM($C$3:$R$3*C8:R8)</f>
        <v>0.22102743700161348</v>
      </c>
      <c r="T8" s="622">
        <f>S8*$T$3</f>
        <v>1.2407041665222246E-2</v>
      </c>
    </row>
    <row r="9" spans="1:20" ht="15" customHeight="1" thickBot="1" x14ac:dyDescent="0.3">
      <c r="A9" s="311">
        <v>54000</v>
      </c>
      <c r="B9" s="312" t="s">
        <v>226</v>
      </c>
      <c r="C9" s="623"/>
      <c r="D9" s="612"/>
      <c r="E9" s="624"/>
      <c r="F9" s="625">
        <f t="shared" si="0"/>
        <v>0.17538125116697764</v>
      </c>
      <c r="G9" s="619"/>
      <c r="H9" s="618">
        <f t="shared" si="1"/>
        <v>0.25391638864156679</v>
      </c>
      <c r="I9" s="620"/>
      <c r="J9" s="620">
        <f t="shared" si="2"/>
        <v>0.2739973846167672</v>
      </c>
      <c r="K9" s="619"/>
      <c r="L9" s="620">
        <f t="shared" si="3"/>
        <v>0.12920958507953487</v>
      </c>
      <c r="M9" s="619"/>
      <c r="N9" s="618">
        <f t="shared" si="4"/>
        <v>0.24302301509866076</v>
      </c>
      <c r="O9" s="619"/>
      <c r="P9" s="620">
        <f t="shared" si="5"/>
        <v>5.3350311849680622E-3</v>
      </c>
      <c r="Q9" s="619"/>
      <c r="R9" s="618">
        <f t="shared" si="6"/>
        <v>9.1921446650928426E-2</v>
      </c>
      <c r="S9" s="621">
        <f t="array" ref="S9">SUM($C$3:$R$3*C9:R9)</f>
        <v>0.20206602507738033</v>
      </c>
      <c r="T9" s="622">
        <f>S9*$T$3</f>
        <v>1.1342671417949798E-2</v>
      </c>
    </row>
    <row r="10" spans="1:20" ht="15.75" thickBot="1" x14ac:dyDescent="0.3">
      <c r="A10" s="895" t="s">
        <v>110</v>
      </c>
      <c r="B10" s="896"/>
      <c r="C10" s="626"/>
      <c r="D10" s="626"/>
      <c r="E10" s="626"/>
      <c r="F10" s="627">
        <f>SUM(F6:F9)</f>
        <v>1</v>
      </c>
      <c r="G10" s="628"/>
      <c r="H10" s="629">
        <f>SUM(H6:H9)</f>
        <v>1</v>
      </c>
      <c r="I10" s="627"/>
      <c r="J10" s="629">
        <f>SUM(J6:J9)</f>
        <v>1</v>
      </c>
      <c r="K10" s="628"/>
      <c r="L10" s="627">
        <f>SUM(L6:L9)</f>
        <v>1.0000000000000002</v>
      </c>
      <c r="M10" s="628"/>
      <c r="N10" s="629">
        <f>SUM(N6:N9)</f>
        <v>1</v>
      </c>
      <c r="O10" s="628"/>
      <c r="P10" s="627">
        <f>SUM(P6:P9)</f>
        <v>1</v>
      </c>
      <c r="Q10" s="628"/>
      <c r="R10" s="629">
        <f>SUM(R6:R9)</f>
        <v>0.99999999999999978</v>
      </c>
      <c r="S10" s="630">
        <f>SUM(S6:S9)</f>
        <v>1</v>
      </c>
      <c r="T10" s="631">
        <f>SUM(T6:T9)</f>
        <v>5.6133491088401287E-2</v>
      </c>
    </row>
    <row r="11" spans="1:20" ht="15.75" thickBot="1" x14ac:dyDescent="0.3">
      <c r="S11" s="587"/>
      <c r="T11" s="721"/>
    </row>
    <row r="12" spans="1:20" x14ac:dyDescent="0.25">
      <c r="A12" s="313">
        <v>51000</v>
      </c>
      <c r="B12" s="309" t="s">
        <v>23</v>
      </c>
      <c r="C12" s="632">
        <v>11361</v>
      </c>
      <c r="D12" s="632">
        <v>17496</v>
      </c>
      <c r="E12" s="632">
        <f>SUM(D12,C12)</f>
        <v>28857</v>
      </c>
      <c r="F12" s="614">
        <f>E12/$E$16</f>
        <v>0.40632788408735693</v>
      </c>
      <c r="G12" s="633">
        <v>1533.8376966047565</v>
      </c>
      <c r="H12" s="614">
        <f>G12/$G$16</f>
        <v>0.45803888708639834</v>
      </c>
      <c r="I12" s="736">
        <v>295.5</v>
      </c>
      <c r="J12" s="615">
        <f>I12/$I$16</f>
        <v>0.4497716894977169</v>
      </c>
      <c r="K12" s="633"/>
      <c r="L12" s="615">
        <v>0.49491300052501519</v>
      </c>
      <c r="M12" s="633">
        <v>149677.95500000002</v>
      </c>
      <c r="N12" s="614">
        <f>M12/$M$16</f>
        <v>0.42818495914844273</v>
      </c>
      <c r="O12" s="633"/>
      <c r="P12" s="614">
        <v>0.82733102634069533</v>
      </c>
      <c r="S12" s="587"/>
      <c r="T12" s="721"/>
    </row>
    <row r="13" spans="1:20" x14ac:dyDescent="0.25">
      <c r="A13" s="308">
        <v>52000</v>
      </c>
      <c r="B13" s="310" t="s">
        <v>24</v>
      </c>
      <c r="C13" s="634">
        <v>4700</v>
      </c>
      <c r="D13" s="634">
        <v>8561</v>
      </c>
      <c r="E13" s="634">
        <f>SUM(D13,C13)</f>
        <v>13261</v>
      </c>
      <c r="F13" s="618">
        <f t="shared" ref="F13:F15" si="7">E13/$E$16</f>
        <v>0.18672467931117026</v>
      </c>
      <c r="G13" s="635">
        <v>361.60477535752608</v>
      </c>
      <c r="H13" s="618">
        <f t="shared" ref="H13:H15" si="8">G13/$G$16</f>
        <v>0.10798342564960971</v>
      </c>
      <c r="I13" s="737">
        <v>68.5</v>
      </c>
      <c r="J13" s="620">
        <f t="shared" ref="J13:J15" si="9">I13/$I$16</f>
        <v>0.10426179604261795</v>
      </c>
      <c r="K13" s="635"/>
      <c r="L13" s="620">
        <v>0.13216649637401906</v>
      </c>
      <c r="M13" s="635">
        <v>50868.974999999999</v>
      </c>
      <c r="N13" s="618">
        <f t="shared" ref="N13:N15" si="10">M13/$M$16</f>
        <v>0.14552129592028534</v>
      </c>
      <c r="O13" s="635"/>
      <c r="P13" s="618">
        <v>2.790468644771284E-2</v>
      </c>
      <c r="S13" s="587"/>
      <c r="T13" s="721"/>
    </row>
    <row r="14" spans="1:20" x14ac:dyDescent="0.25">
      <c r="A14" s="308">
        <v>53000</v>
      </c>
      <c r="B14" s="310" t="s">
        <v>25</v>
      </c>
      <c r="C14" s="634">
        <v>4327</v>
      </c>
      <c r="D14" s="634">
        <v>11181</v>
      </c>
      <c r="E14" s="634">
        <f>SUM(D14,C14)</f>
        <v>15508</v>
      </c>
      <c r="F14" s="620">
        <f t="shared" si="7"/>
        <v>0.21836409974795476</v>
      </c>
      <c r="G14" s="635">
        <v>602.97240106293884</v>
      </c>
      <c r="H14" s="618">
        <f t="shared" si="8"/>
        <v>0.18006129862242523</v>
      </c>
      <c r="I14" s="737">
        <v>116.5</v>
      </c>
      <c r="J14" s="620">
        <f t="shared" si="9"/>
        <v>0.17732115677321156</v>
      </c>
      <c r="K14" s="635"/>
      <c r="L14" s="620">
        <v>0.24371091802143091</v>
      </c>
      <c r="M14" s="635">
        <v>64064.81</v>
      </c>
      <c r="N14" s="618">
        <f t="shared" si="10"/>
        <v>0.18327072983261125</v>
      </c>
      <c r="O14" s="635"/>
      <c r="P14" s="618">
        <v>0.13942925602662382</v>
      </c>
      <c r="S14" s="587"/>
      <c r="T14" s="721"/>
    </row>
    <row r="15" spans="1:20" ht="15" customHeight="1" thickBot="1" x14ac:dyDescent="0.3">
      <c r="A15" s="722">
        <v>54000</v>
      </c>
      <c r="B15" s="738" t="s">
        <v>226</v>
      </c>
      <c r="C15" s="723">
        <v>7310</v>
      </c>
      <c r="D15" s="724">
        <v>6083</v>
      </c>
      <c r="E15" s="723">
        <f>SUM(D15,C15)</f>
        <v>13393</v>
      </c>
      <c r="F15" s="725">
        <f t="shared" si="7"/>
        <v>0.18858333685351808</v>
      </c>
      <c r="G15" s="726">
        <v>850.29140464817169</v>
      </c>
      <c r="H15" s="727">
        <f t="shared" si="8"/>
        <v>0.25391638864156679</v>
      </c>
      <c r="I15" s="739">
        <v>176.5</v>
      </c>
      <c r="J15" s="728">
        <f t="shared" si="9"/>
        <v>0.26864535768645359</v>
      </c>
      <c r="K15" s="726"/>
      <c r="L15" s="728">
        <v>0.12920958507953487</v>
      </c>
      <c r="M15" s="726">
        <v>84952.044999999998</v>
      </c>
      <c r="N15" s="727">
        <f t="shared" si="10"/>
        <v>0.24302301509866076</v>
      </c>
      <c r="O15" s="726"/>
      <c r="P15" s="727">
        <v>5.3350311849680622E-3</v>
      </c>
      <c r="S15" s="587"/>
      <c r="T15" s="721"/>
    </row>
    <row r="16" spans="1:20" ht="15.75" thickBot="1" x14ac:dyDescent="0.3">
      <c r="A16" s="314">
        <v>2024</v>
      </c>
      <c r="B16" s="315" t="s">
        <v>110</v>
      </c>
      <c r="C16" s="637">
        <f t="shared" ref="C16:J16" si="11">SUM(C12:C15)</f>
        <v>27698</v>
      </c>
      <c r="D16" s="637">
        <f t="shared" si="11"/>
        <v>43321</v>
      </c>
      <c r="E16" s="637">
        <f t="shared" si="11"/>
        <v>71019</v>
      </c>
      <c r="F16" s="627">
        <f t="shared" si="11"/>
        <v>1</v>
      </c>
      <c r="G16" s="638">
        <f t="shared" si="11"/>
        <v>3348.7062776733928</v>
      </c>
      <c r="H16" s="629">
        <f t="shared" si="11"/>
        <v>1</v>
      </c>
      <c r="I16" s="638">
        <f t="shared" si="11"/>
        <v>657</v>
      </c>
      <c r="J16" s="629">
        <f t="shared" si="11"/>
        <v>1</v>
      </c>
      <c r="K16" s="638"/>
      <c r="L16" s="627">
        <f>SUM(L12:L15)</f>
        <v>1.0000000000000002</v>
      </c>
      <c r="M16" s="638">
        <f>SUM(M12:M15)</f>
        <v>349563.78499999997</v>
      </c>
      <c r="N16" s="629">
        <f>SUM(N12:N15)</f>
        <v>1</v>
      </c>
      <c r="O16" s="638"/>
      <c r="P16" s="629">
        <f>SUM(P12:P15)</f>
        <v>1</v>
      </c>
      <c r="S16" s="587"/>
      <c r="T16" s="721"/>
    </row>
    <row r="17" spans="1:20" ht="15.75" thickBot="1" x14ac:dyDescent="0.3">
      <c r="S17" s="587"/>
      <c r="T17" s="721"/>
    </row>
    <row r="18" spans="1:20" x14ac:dyDescent="0.25">
      <c r="A18" s="313">
        <v>51000</v>
      </c>
      <c r="B18" s="309" t="s">
        <v>23</v>
      </c>
      <c r="C18" s="633">
        <v>8377</v>
      </c>
      <c r="D18" s="632">
        <v>20316</v>
      </c>
      <c r="E18" s="632">
        <f>SUM(D18,C18)</f>
        <v>28693</v>
      </c>
      <c r="F18" s="614">
        <f>E18/$E$22</f>
        <v>0.33133177057471797</v>
      </c>
      <c r="G18" s="11"/>
      <c r="H18" s="639"/>
      <c r="I18" s="740">
        <v>278</v>
      </c>
      <c r="J18" s="614">
        <f>I18/$I$22</f>
        <v>0.48432055749128922</v>
      </c>
      <c r="K18" s="11"/>
      <c r="L18" s="639"/>
      <c r="M18" s="11"/>
      <c r="N18" s="639"/>
      <c r="O18" s="11"/>
      <c r="P18" s="639"/>
      <c r="Q18" s="633">
        <v>13595.251</v>
      </c>
      <c r="R18" s="614">
        <f>Q18/$Q$22</f>
        <v>0.33949598694559519</v>
      </c>
      <c r="S18" s="587"/>
      <c r="T18" s="721"/>
    </row>
    <row r="19" spans="1:20" x14ac:dyDescent="0.25">
      <c r="A19" s="308">
        <v>52000</v>
      </c>
      <c r="B19" s="310" t="s">
        <v>24</v>
      </c>
      <c r="C19" s="635">
        <v>5570</v>
      </c>
      <c r="D19" s="634">
        <v>13186</v>
      </c>
      <c r="E19" s="634">
        <f>SUM(D19,C19)</f>
        <v>18756</v>
      </c>
      <c r="F19" s="618">
        <f t="shared" ref="F19:F21" si="12">E19/$E$22</f>
        <v>0.21658448711878889</v>
      </c>
      <c r="G19" s="11"/>
      <c r="H19" s="639"/>
      <c r="I19" s="741">
        <v>46.5</v>
      </c>
      <c r="J19" s="618">
        <f t="shared" ref="J19:J21" si="13">I19/$I$22</f>
        <v>8.1010452961672474E-2</v>
      </c>
      <c r="K19" s="11"/>
      <c r="L19" s="639"/>
      <c r="M19" s="11"/>
      <c r="N19" s="639"/>
      <c r="O19" s="11"/>
      <c r="P19" s="639"/>
      <c r="Q19" s="635">
        <v>2786</v>
      </c>
      <c r="R19" s="618">
        <f t="shared" ref="R19:R21" si="14">Q19/$Q$22</f>
        <v>6.9571045038479107E-2</v>
      </c>
      <c r="S19" s="587"/>
      <c r="T19" s="721"/>
    </row>
    <row r="20" spans="1:20" x14ac:dyDescent="0.25">
      <c r="A20" s="308">
        <v>53000</v>
      </c>
      <c r="B20" s="310" t="s">
        <v>25</v>
      </c>
      <c r="C20" s="635">
        <v>9036</v>
      </c>
      <c r="D20" s="634">
        <v>17145</v>
      </c>
      <c r="E20" s="634">
        <f>SUM(D20,C20)</f>
        <v>26181</v>
      </c>
      <c r="F20" s="618">
        <f t="shared" si="12"/>
        <v>0.3023245072113997</v>
      </c>
      <c r="G20" s="11"/>
      <c r="H20" s="639"/>
      <c r="I20" s="741">
        <v>84.5</v>
      </c>
      <c r="J20" s="618">
        <f t="shared" si="13"/>
        <v>0.14721254355400698</v>
      </c>
      <c r="K20" s="11"/>
      <c r="L20" s="639"/>
      <c r="M20" s="11"/>
      <c r="N20" s="639"/>
      <c r="O20" s="11"/>
      <c r="P20" s="639"/>
      <c r="Q20" s="635">
        <v>19688</v>
      </c>
      <c r="R20" s="618">
        <f t="shared" si="14"/>
        <v>0.4916420440479457</v>
      </c>
      <c r="S20" s="587"/>
      <c r="T20" s="721"/>
    </row>
    <row r="21" spans="1:20" ht="15" customHeight="1" thickBot="1" x14ac:dyDescent="0.3">
      <c r="A21" s="722">
        <v>54000</v>
      </c>
      <c r="B21" s="738" t="s">
        <v>226</v>
      </c>
      <c r="C21" s="742">
        <v>5950</v>
      </c>
      <c r="D21" s="724">
        <v>7019</v>
      </c>
      <c r="E21" s="723">
        <f>SUM(D21,C21)</f>
        <v>12969</v>
      </c>
      <c r="F21" s="725">
        <f t="shared" si="12"/>
        <v>0.14975923509509348</v>
      </c>
      <c r="G21" s="743"/>
      <c r="H21" s="744"/>
      <c r="I21" s="745">
        <v>165</v>
      </c>
      <c r="J21" s="727">
        <f t="shared" si="13"/>
        <v>0.28745644599303138</v>
      </c>
      <c r="K21" s="743"/>
      <c r="L21" s="744"/>
      <c r="M21" s="743"/>
      <c r="N21" s="744"/>
      <c r="O21" s="743"/>
      <c r="P21" s="744"/>
      <c r="Q21" s="635">
        <v>3976.1442999999995</v>
      </c>
      <c r="R21" s="618">
        <f t="shared" si="14"/>
        <v>9.929092396797988E-2</v>
      </c>
      <c r="S21" s="729"/>
      <c r="T21" s="729"/>
    </row>
    <row r="22" spans="1:20" ht="15.75" thickBot="1" x14ac:dyDescent="0.3">
      <c r="A22" s="314">
        <v>2023</v>
      </c>
      <c r="B22" s="315" t="s">
        <v>110</v>
      </c>
      <c r="C22" s="638">
        <f t="shared" ref="C22:F22" si="15">SUM(C18:C21)</f>
        <v>28933</v>
      </c>
      <c r="D22" s="637">
        <f t="shared" si="15"/>
        <v>57666</v>
      </c>
      <c r="E22" s="637">
        <f t="shared" si="15"/>
        <v>86599</v>
      </c>
      <c r="F22" s="629">
        <f t="shared" si="15"/>
        <v>1</v>
      </c>
      <c r="G22" s="586"/>
      <c r="H22" s="640"/>
      <c r="I22" s="638">
        <f t="shared" ref="I22:J22" si="16">SUM(I18:I21)</f>
        <v>574</v>
      </c>
      <c r="J22" s="629">
        <f t="shared" si="16"/>
        <v>1</v>
      </c>
      <c r="K22" s="586"/>
      <c r="L22" s="640"/>
      <c r="M22" s="586"/>
      <c r="N22" s="640"/>
      <c r="O22" s="586"/>
      <c r="P22" s="640"/>
      <c r="Q22" s="638">
        <f>SUM(Q18:Q21)</f>
        <v>40045.395300000004</v>
      </c>
      <c r="R22" s="629">
        <f>SUM(R18:R21)</f>
        <v>0.99999999999999989</v>
      </c>
    </row>
    <row r="23" spans="1:20" ht="15.75" thickBot="1" x14ac:dyDescent="0.3"/>
    <row r="24" spans="1:20" x14ac:dyDescent="0.25">
      <c r="A24" s="313">
        <v>51000</v>
      </c>
      <c r="B24" s="309" t="s">
        <v>23</v>
      </c>
      <c r="C24" s="633">
        <v>8581</v>
      </c>
      <c r="D24" s="632">
        <v>21683</v>
      </c>
      <c r="E24" s="632">
        <f>SUM(D24,C24)</f>
        <v>30264</v>
      </c>
      <c r="F24" s="614">
        <f>E24/$E$28</f>
        <v>0.40232375736144532</v>
      </c>
      <c r="I24" s="740">
        <v>263.5</v>
      </c>
      <c r="J24" s="614">
        <f>I24/$I$28</f>
        <v>0.45865970409051349</v>
      </c>
      <c r="Q24" s="633">
        <v>17825.267329999999</v>
      </c>
      <c r="R24" s="614">
        <f>Q24/$Q$28</f>
        <v>0.35230509507731328</v>
      </c>
    </row>
    <row r="25" spans="1:20" x14ac:dyDescent="0.25">
      <c r="A25" s="308">
        <v>52000</v>
      </c>
      <c r="B25" s="310" t="s">
        <v>24</v>
      </c>
      <c r="C25" s="635">
        <v>3090</v>
      </c>
      <c r="D25" s="634">
        <v>8474</v>
      </c>
      <c r="E25" s="634">
        <f>SUM(D25,C25)</f>
        <v>11564</v>
      </c>
      <c r="F25" s="618">
        <f>E25/$E$28</f>
        <v>0.15372957738989404</v>
      </c>
      <c r="G25" s="11"/>
      <c r="H25" s="639"/>
      <c r="I25" s="741">
        <v>59</v>
      </c>
      <c r="J25" s="618">
        <f t="shared" ref="J25:J27" si="17">I25/$I$28</f>
        <v>0.10269799825935597</v>
      </c>
      <c r="K25" s="11"/>
      <c r="L25" s="639"/>
      <c r="M25" s="11"/>
      <c r="N25" s="639"/>
      <c r="Q25" s="635">
        <v>2447</v>
      </c>
      <c r="R25" s="618">
        <f t="shared" ref="R25:R27" si="18">Q25/$Q$28</f>
        <v>4.8363401888693341E-2</v>
      </c>
    </row>
    <row r="26" spans="1:20" x14ac:dyDescent="0.25">
      <c r="A26" s="308">
        <v>53000</v>
      </c>
      <c r="B26" s="310" t="s">
        <v>25</v>
      </c>
      <c r="C26" s="635">
        <v>5571</v>
      </c>
      <c r="D26" s="634">
        <v>14223</v>
      </c>
      <c r="E26" s="634">
        <f>SUM(D26,C26)</f>
        <v>19794</v>
      </c>
      <c r="F26" s="618">
        <f>E26/$E$28</f>
        <v>0.26313760419020776</v>
      </c>
      <c r="G26" s="11"/>
      <c r="H26" s="639"/>
      <c r="I26" s="741">
        <v>98.5</v>
      </c>
      <c r="J26" s="618">
        <f t="shared" si="17"/>
        <v>0.17145343777197564</v>
      </c>
      <c r="K26" s="11"/>
      <c r="L26" s="639"/>
      <c r="M26" s="11"/>
      <c r="N26" s="639"/>
      <c r="Q26" s="635">
        <v>26526</v>
      </c>
      <c r="R26" s="618">
        <f t="shared" si="18"/>
        <v>0.5242695539433917</v>
      </c>
    </row>
    <row r="27" spans="1:20" ht="15" customHeight="1" thickBot="1" x14ac:dyDescent="0.3">
      <c r="A27" s="311">
        <v>54000</v>
      </c>
      <c r="B27" s="312" t="s">
        <v>226</v>
      </c>
      <c r="C27" s="641">
        <v>4039</v>
      </c>
      <c r="D27" s="636">
        <v>9562</v>
      </c>
      <c r="E27" s="636">
        <f>SUM(D27,C27)</f>
        <v>13601</v>
      </c>
      <c r="F27" s="625">
        <f>E27/$E$28</f>
        <v>0.18080906105845287</v>
      </c>
      <c r="G27" s="11"/>
      <c r="H27" s="639"/>
      <c r="I27" s="745">
        <v>153.5</v>
      </c>
      <c r="J27" s="727">
        <f t="shared" si="17"/>
        <v>0.26718885987815494</v>
      </c>
      <c r="K27" s="11"/>
      <c r="L27" s="639"/>
      <c r="M27" s="11"/>
      <c r="N27" s="639"/>
      <c r="Q27" s="635">
        <v>3797.8426300000001</v>
      </c>
      <c r="R27" s="618">
        <f t="shared" si="18"/>
        <v>7.5061949090601585E-2</v>
      </c>
    </row>
    <row r="28" spans="1:20" ht="15.75" thickBot="1" x14ac:dyDescent="0.3">
      <c r="A28" s="314">
        <v>2022</v>
      </c>
      <c r="B28" s="315" t="s">
        <v>110</v>
      </c>
      <c r="C28" s="638">
        <f t="shared" ref="C28:F28" si="19">SUM(C24:C27)</f>
        <v>21281</v>
      </c>
      <c r="D28" s="637">
        <f t="shared" si="19"/>
        <v>53942</v>
      </c>
      <c r="E28" s="637">
        <f t="shared" si="19"/>
        <v>75223</v>
      </c>
      <c r="F28" s="629">
        <f t="shared" si="19"/>
        <v>0.99999999999999989</v>
      </c>
      <c r="G28" s="11"/>
      <c r="H28" s="639"/>
      <c r="I28" s="638">
        <f t="shared" ref="I28:J28" si="20">SUM(I24:I27)</f>
        <v>574.5</v>
      </c>
      <c r="J28" s="629">
        <f t="shared" si="20"/>
        <v>1</v>
      </c>
      <c r="K28" s="11"/>
      <c r="L28" s="639"/>
      <c r="M28" s="11"/>
      <c r="N28" s="639"/>
      <c r="Q28" s="638">
        <f>SUM(Q24:Q27)</f>
        <v>50596.109960000002</v>
      </c>
      <c r="R28" s="629">
        <f>SUM(R24:R27)</f>
        <v>0.99999999999999989</v>
      </c>
    </row>
    <row r="29" spans="1:20" ht="15.75" thickBot="1" x14ac:dyDescent="0.3">
      <c r="G29" s="586"/>
      <c r="H29" s="640"/>
      <c r="I29" s="640"/>
      <c r="J29" s="640"/>
      <c r="K29" s="586"/>
      <c r="L29" s="640"/>
      <c r="M29" s="586"/>
      <c r="N29" s="640"/>
    </row>
    <row r="30" spans="1:20" x14ac:dyDescent="0.25">
      <c r="A30" s="313">
        <v>51000</v>
      </c>
      <c r="B30" s="309" t="s">
        <v>23</v>
      </c>
      <c r="Q30" s="633">
        <v>18474.29479</v>
      </c>
      <c r="R30" s="614">
        <f>Q30/$Q$34</f>
        <v>0.3793384099105731</v>
      </c>
    </row>
    <row r="31" spans="1:20" x14ac:dyDescent="0.25">
      <c r="A31" s="308">
        <v>52000</v>
      </c>
      <c r="B31" s="310" t="s">
        <v>24</v>
      </c>
      <c r="Q31" s="635">
        <v>2642</v>
      </c>
      <c r="R31" s="618">
        <f>Q31/$Q$34</f>
        <v>5.4249003297610267E-2</v>
      </c>
    </row>
    <row r="32" spans="1:20" x14ac:dyDescent="0.25">
      <c r="A32" s="308">
        <v>53000</v>
      </c>
      <c r="B32" s="310" t="s">
        <v>25</v>
      </c>
      <c r="Q32" s="635">
        <v>22774</v>
      </c>
      <c r="R32" s="618">
        <f>Q32/$Q$34</f>
        <v>0.46762558709302654</v>
      </c>
    </row>
    <row r="33" spans="1:18" ht="15" customHeight="1" thickBot="1" x14ac:dyDescent="0.3">
      <c r="A33" s="311">
        <v>54000</v>
      </c>
      <c r="B33" s="312" t="s">
        <v>226</v>
      </c>
      <c r="Q33" s="635">
        <v>4811.0607999999993</v>
      </c>
      <c r="R33" s="618">
        <f>Q33/$Q$34</f>
        <v>9.8786999698790096E-2</v>
      </c>
    </row>
    <row r="34" spans="1:18" ht="15.75" thickBot="1" x14ac:dyDescent="0.3">
      <c r="A34" s="314">
        <v>2021</v>
      </c>
      <c r="B34" s="315" t="s">
        <v>110</v>
      </c>
      <c r="Q34" s="638">
        <f>SUM(Q30:Q33)</f>
        <v>48701.355589999999</v>
      </c>
      <c r="R34" s="629">
        <f>SUM(R30:R33)</f>
        <v>1</v>
      </c>
    </row>
    <row r="36" spans="1:18" x14ac:dyDescent="0.25">
      <c r="A36" s="544" t="s">
        <v>209</v>
      </c>
    </row>
    <row r="37" spans="1:18" x14ac:dyDescent="0.25">
      <c r="A37" s="35"/>
    </row>
  </sheetData>
  <mergeCells count="13">
    <mergeCell ref="S4:S5"/>
    <mergeCell ref="T4:T5"/>
    <mergeCell ref="G4:H4"/>
    <mergeCell ref="I4:J4"/>
    <mergeCell ref="A10:B10"/>
    <mergeCell ref="M4:N4"/>
    <mergeCell ref="O4:P4"/>
    <mergeCell ref="Q4:R4"/>
    <mergeCell ref="A3:B3"/>
    <mergeCell ref="A4:A5"/>
    <mergeCell ref="B4:B5"/>
    <mergeCell ref="C4:F4"/>
    <mergeCell ref="K4:L4"/>
  </mergeCells>
  <hyperlinks>
    <hyperlink ref="A36" location="'0 Seznam'!A1" display="Seznam" xr:uid="{87D77322-34EF-4561-9C6A-088FAD5BE130}"/>
  </hyperlinks>
  <pageMargins left="0.70866141732283472" right="0.70866141732283472" top="0.78740157480314965" bottom="0.78740157480314965" header="0.31496062992125984" footer="0.31496062992125984"/>
  <pageSetup paperSize="9" scale="47" orientation="landscape" r:id="rId1"/>
  <headerFooter>
    <oddHeader xml:space="preserve">&amp;LČ. j.: 842/2025-1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D966"/>
    <pageSetUpPr fitToPage="1"/>
  </sheetPr>
  <dimension ref="A1:L22"/>
  <sheetViews>
    <sheetView zoomScale="85" zoomScaleNormal="85" workbookViewId="0">
      <selection activeCell="F36" sqref="F36"/>
    </sheetView>
  </sheetViews>
  <sheetFormatPr defaultRowHeight="15" x14ac:dyDescent="0.25"/>
  <cols>
    <col min="1" max="1" width="10.5703125" customWidth="1"/>
    <col min="2" max="2" width="61.5703125" bestFit="1" customWidth="1"/>
    <col min="3" max="8" width="11" customWidth="1"/>
    <col min="9" max="10" width="11.7109375" customWidth="1"/>
    <col min="11" max="12" width="17.42578125" customWidth="1"/>
  </cols>
  <sheetData>
    <row r="1" spans="1:12" ht="27.75" x14ac:dyDescent="0.25">
      <c r="A1" s="299" t="s">
        <v>242</v>
      </c>
    </row>
    <row r="2" spans="1:12" ht="15.75" thickBot="1" x14ac:dyDescent="0.3"/>
    <row r="3" spans="1:12" ht="15.75" customHeight="1" thickBot="1" x14ac:dyDescent="0.3">
      <c r="A3" s="882" t="s">
        <v>99</v>
      </c>
      <c r="B3" s="883"/>
      <c r="C3" s="300"/>
      <c r="D3" s="606">
        <v>0.4</v>
      </c>
      <c r="E3" s="300"/>
      <c r="F3" s="606">
        <v>0.2</v>
      </c>
      <c r="G3" s="300"/>
      <c r="H3" s="301">
        <v>0.2</v>
      </c>
      <c r="I3" s="300"/>
      <c r="J3" s="301">
        <v>0.2</v>
      </c>
      <c r="K3" s="642">
        <f>SUM(D3:J3)</f>
        <v>1</v>
      </c>
      <c r="L3" s="610">
        <v>1.3155031502482598E-2</v>
      </c>
    </row>
    <row r="4" spans="1:12" ht="30" customHeight="1" x14ac:dyDescent="0.25">
      <c r="A4" s="884" t="s">
        <v>2</v>
      </c>
      <c r="B4" s="886" t="s">
        <v>3</v>
      </c>
      <c r="C4" s="891" t="s">
        <v>111</v>
      </c>
      <c r="D4" s="892"/>
      <c r="E4" s="891" t="s">
        <v>100</v>
      </c>
      <c r="F4" s="892"/>
      <c r="G4" s="891" t="s">
        <v>112</v>
      </c>
      <c r="H4" s="899"/>
      <c r="I4" s="891" t="s">
        <v>272</v>
      </c>
      <c r="J4" s="892"/>
      <c r="K4" s="893" t="s">
        <v>105</v>
      </c>
      <c r="L4" s="893" t="s">
        <v>106</v>
      </c>
    </row>
    <row r="5" spans="1:12" ht="15.75" thickBot="1" x14ac:dyDescent="0.3">
      <c r="A5" s="885"/>
      <c r="B5" s="887"/>
      <c r="C5" s="306" t="s">
        <v>28</v>
      </c>
      <c r="D5" s="307" t="s">
        <v>109</v>
      </c>
      <c r="E5" s="316" t="s">
        <v>107</v>
      </c>
      <c r="F5" s="305" t="s">
        <v>109</v>
      </c>
      <c r="G5" s="306" t="s">
        <v>28</v>
      </c>
      <c r="H5" s="317" t="s">
        <v>109</v>
      </c>
      <c r="I5" s="306" t="s">
        <v>28</v>
      </c>
      <c r="J5" s="317" t="s">
        <v>109</v>
      </c>
      <c r="K5" s="894"/>
      <c r="L5" s="894"/>
    </row>
    <row r="6" spans="1:12" x14ac:dyDescent="0.25">
      <c r="A6" s="318">
        <v>55000</v>
      </c>
      <c r="B6" s="319" t="s">
        <v>26</v>
      </c>
      <c r="C6" s="643"/>
      <c r="D6" s="644">
        <f>D10</f>
        <v>0.50561909079513123</v>
      </c>
      <c r="E6" s="643"/>
      <c r="F6" s="644">
        <f>0.5*F10+0.3*F14+0.2*F18</f>
        <v>0.2645294042640538</v>
      </c>
      <c r="G6" s="643"/>
      <c r="H6" s="645">
        <f>H10</f>
        <v>0.59720868137493588</v>
      </c>
      <c r="I6" s="643"/>
      <c r="J6" s="645">
        <f>0.5*J10+0.3*J14+0.2*J18</f>
        <v>0.52778751158719683</v>
      </c>
      <c r="K6" s="646" cm="1">
        <f t="array" ref="K6">SUM($C$3:$J$3*C6:J6)</f>
        <v>0.48015275576328981</v>
      </c>
      <c r="L6" s="646">
        <f>K6*$L$3</f>
        <v>6.3164246280699105E-3</v>
      </c>
    </row>
    <row r="7" spans="1:12" ht="15" customHeight="1" thickBot="1" x14ac:dyDescent="0.3">
      <c r="A7" s="320">
        <v>56000</v>
      </c>
      <c r="B7" s="321" t="s">
        <v>27</v>
      </c>
      <c r="C7" s="647"/>
      <c r="D7" s="648">
        <f>D11</f>
        <v>0.49438090920486871</v>
      </c>
      <c r="E7" s="649"/>
      <c r="F7" s="650">
        <f>0.5*F11+0.3*F15+0.2*F19</f>
        <v>0.7354705957359462</v>
      </c>
      <c r="G7" s="647"/>
      <c r="H7" s="651">
        <f>H11</f>
        <v>0.40279131862506412</v>
      </c>
      <c r="I7" s="647"/>
      <c r="J7" s="651">
        <f>0.5*J11+0.3*J15+0.2*J19</f>
        <v>0.47221248841280311</v>
      </c>
      <c r="K7" s="652" cm="1">
        <f t="array" ref="K7">SUM($C$3:$J$3*C7:J7)</f>
        <v>0.51984724423671025</v>
      </c>
      <c r="L7" s="652">
        <f>K7*$L$3</f>
        <v>6.8386068744126886E-3</v>
      </c>
    </row>
    <row r="8" spans="1:12" ht="15.75" thickBot="1" x14ac:dyDescent="0.3">
      <c r="A8" s="897" t="s">
        <v>110</v>
      </c>
      <c r="B8" s="898"/>
      <c r="C8" s="653"/>
      <c r="D8" s="654">
        <f>SUM(D6:D7)</f>
        <v>1</v>
      </c>
      <c r="E8" s="655"/>
      <c r="F8" s="656">
        <f>SUM(F6:F7)</f>
        <v>1</v>
      </c>
      <c r="G8" s="653"/>
      <c r="H8" s="656">
        <f>SUM(H6:H7)</f>
        <v>1</v>
      </c>
      <c r="I8" s="653"/>
      <c r="J8" s="656">
        <f>SUM(J6:J7)</f>
        <v>1</v>
      </c>
      <c r="K8" s="657">
        <f>SUM(K6:K7)</f>
        <v>1</v>
      </c>
      <c r="L8" s="657">
        <f>SUM(L6:L7)</f>
        <v>1.3155031502482598E-2</v>
      </c>
    </row>
    <row r="9" spans="1:12" ht="15.75" thickBot="1" x14ac:dyDescent="0.3">
      <c r="A9" s="342"/>
      <c r="B9" s="342"/>
      <c r="C9" s="586"/>
      <c r="D9" s="640"/>
      <c r="E9" s="586"/>
      <c r="F9" s="640"/>
      <c r="G9" s="586"/>
      <c r="H9" s="640"/>
      <c r="I9" s="586"/>
      <c r="J9" s="640"/>
      <c r="K9" s="746"/>
      <c r="L9" s="746"/>
    </row>
    <row r="10" spans="1:12" x14ac:dyDescent="0.25">
      <c r="A10" s="322">
        <v>55000</v>
      </c>
      <c r="B10" s="319" t="s">
        <v>26</v>
      </c>
      <c r="C10" s="643">
        <v>742.07187209406959</v>
      </c>
      <c r="D10" s="644">
        <f>C10/$C$12</f>
        <v>0.50561909079513123</v>
      </c>
      <c r="E10" s="643">
        <v>3160</v>
      </c>
      <c r="F10" s="644">
        <f>E10/$E$12</f>
        <v>0.31136072519460045</v>
      </c>
      <c r="G10" s="643">
        <v>576.13224160901632</v>
      </c>
      <c r="H10" s="644">
        <f>G10/$G$12</f>
        <v>0.59720868137493588</v>
      </c>
      <c r="I10" s="643">
        <v>372</v>
      </c>
      <c r="J10" s="644">
        <f>I10/$I$12</f>
        <v>0.53757225433526012</v>
      </c>
      <c r="K10" s="746"/>
      <c r="L10" s="746"/>
    </row>
    <row r="11" spans="1:12" ht="15" customHeight="1" thickBot="1" x14ac:dyDescent="0.3">
      <c r="A11" s="320">
        <v>56000</v>
      </c>
      <c r="B11" s="321" t="s">
        <v>27</v>
      </c>
      <c r="C11" s="647">
        <v>725.5781545833155</v>
      </c>
      <c r="D11" s="648">
        <f>C11/$C$12</f>
        <v>0.49438090920486871</v>
      </c>
      <c r="E11" s="649">
        <v>6989</v>
      </c>
      <c r="F11" s="650">
        <f>E11/$E$12</f>
        <v>0.68863927480539955</v>
      </c>
      <c r="G11" s="647">
        <v>388.57617535941108</v>
      </c>
      <c r="H11" s="648">
        <f>G11/$G$12</f>
        <v>0.40279131862506412</v>
      </c>
      <c r="I11" s="647">
        <v>320</v>
      </c>
      <c r="J11" s="648">
        <f>I11/$I$12</f>
        <v>0.46242774566473988</v>
      </c>
      <c r="K11" s="746"/>
      <c r="L11" s="746"/>
    </row>
    <row r="12" spans="1:12" ht="15.75" thickBot="1" x14ac:dyDescent="0.3">
      <c r="A12" s="323">
        <v>2024</v>
      </c>
      <c r="B12" s="324" t="s">
        <v>110</v>
      </c>
      <c r="C12" s="653">
        <f t="shared" ref="C12:J12" si="0">SUM(C10:C11)</f>
        <v>1467.6500266773851</v>
      </c>
      <c r="D12" s="654">
        <f t="shared" si="0"/>
        <v>1</v>
      </c>
      <c r="E12" s="655">
        <f t="shared" si="0"/>
        <v>10149</v>
      </c>
      <c r="F12" s="656">
        <f t="shared" si="0"/>
        <v>1</v>
      </c>
      <c r="G12" s="653">
        <f t="shared" si="0"/>
        <v>964.7084169684274</v>
      </c>
      <c r="H12" s="654">
        <f t="shared" si="0"/>
        <v>1</v>
      </c>
      <c r="I12" s="653">
        <f t="shared" si="0"/>
        <v>692</v>
      </c>
      <c r="J12" s="654">
        <f t="shared" si="0"/>
        <v>1</v>
      </c>
      <c r="K12" s="746"/>
      <c r="L12" s="746"/>
    </row>
    <row r="13" spans="1:12" ht="15.75" thickBot="1" x14ac:dyDescent="0.3">
      <c r="A13" s="342"/>
      <c r="B13" s="342"/>
      <c r="C13" s="747"/>
      <c r="D13" s="748"/>
      <c r="E13" s="586"/>
      <c r="F13" s="640"/>
      <c r="G13" s="747"/>
      <c r="H13" s="748"/>
      <c r="I13" s="586"/>
      <c r="J13" s="640"/>
      <c r="K13" s="746"/>
      <c r="L13" s="746"/>
    </row>
    <row r="14" spans="1:12" x14ac:dyDescent="0.25">
      <c r="A14" s="322">
        <v>55000</v>
      </c>
      <c r="B14" s="319" t="s">
        <v>26</v>
      </c>
      <c r="C14" s="749"/>
      <c r="D14" s="750"/>
      <c r="E14" s="643">
        <v>2526</v>
      </c>
      <c r="F14" s="644">
        <f>E14/$E$16</f>
        <v>0.20667648502700048</v>
      </c>
      <c r="G14" s="749"/>
      <c r="H14" s="750"/>
      <c r="I14" s="643">
        <v>336.5</v>
      </c>
      <c r="J14" s="644">
        <f>I14/$I$16</f>
        <v>0.48105789849892783</v>
      </c>
    </row>
    <row r="15" spans="1:12" ht="15" customHeight="1" thickBot="1" x14ac:dyDescent="0.3">
      <c r="A15" s="320">
        <v>56000</v>
      </c>
      <c r="B15" s="321" t="s">
        <v>27</v>
      </c>
      <c r="C15" s="749"/>
      <c r="D15" s="750"/>
      <c r="E15" s="649">
        <v>9696</v>
      </c>
      <c r="F15" s="650">
        <f>E15/$E$16</f>
        <v>0.79332351497299947</v>
      </c>
      <c r="G15" s="749"/>
      <c r="H15" s="750"/>
      <c r="I15" s="647">
        <v>363</v>
      </c>
      <c r="J15" s="648">
        <f>I15/$I$16</f>
        <v>0.51894210150107223</v>
      </c>
      <c r="L15" s="587"/>
    </row>
    <row r="16" spans="1:12" ht="15.75" thickBot="1" x14ac:dyDescent="0.3">
      <c r="A16" s="323">
        <v>2023</v>
      </c>
      <c r="B16" s="324" t="s">
        <v>110</v>
      </c>
      <c r="C16" s="751"/>
      <c r="D16" s="752"/>
      <c r="E16" s="655">
        <f t="shared" ref="E16:J16" si="1">SUM(E14:E15)</f>
        <v>12222</v>
      </c>
      <c r="F16" s="656">
        <f t="shared" si="1"/>
        <v>1</v>
      </c>
      <c r="G16" s="751"/>
      <c r="H16" s="752"/>
      <c r="I16" s="653">
        <f t="shared" si="1"/>
        <v>699.5</v>
      </c>
      <c r="J16" s="654">
        <f t="shared" si="1"/>
        <v>1</v>
      </c>
      <c r="L16" s="587"/>
    </row>
    <row r="17" spans="1:10" ht="15.75" thickBot="1" x14ac:dyDescent="0.3">
      <c r="C17" s="11"/>
      <c r="E17" s="11"/>
      <c r="G17" s="11"/>
    </row>
    <row r="18" spans="1:10" x14ac:dyDescent="0.25">
      <c r="A18" s="322">
        <v>55000</v>
      </c>
      <c r="B18" s="319" t="s">
        <v>26</v>
      </c>
      <c r="C18" s="11"/>
      <c r="E18" s="643">
        <v>2811</v>
      </c>
      <c r="F18" s="644">
        <f>E18/$E$20</f>
        <v>0.23423048079326722</v>
      </c>
      <c r="G18" s="11"/>
      <c r="I18" s="643">
        <v>308.5</v>
      </c>
      <c r="J18" s="644">
        <f>I18/$I$20</f>
        <v>0.57342007434944242</v>
      </c>
    </row>
    <row r="19" spans="1:10" ht="15" customHeight="1" thickBot="1" x14ac:dyDescent="0.3">
      <c r="A19" s="320">
        <v>56000</v>
      </c>
      <c r="B19" s="321" t="s">
        <v>27</v>
      </c>
      <c r="E19" s="649">
        <v>9190</v>
      </c>
      <c r="F19" s="650">
        <f>E19/$E$20</f>
        <v>0.76576951920673275</v>
      </c>
      <c r="I19" s="647">
        <v>229.5</v>
      </c>
      <c r="J19" s="648">
        <f>I19/$I$20</f>
        <v>0.42657992565055763</v>
      </c>
    </row>
    <row r="20" spans="1:10" ht="15.75" thickBot="1" x14ac:dyDescent="0.3">
      <c r="A20" s="323">
        <v>2022</v>
      </c>
      <c r="B20" s="324" t="s">
        <v>110</v>
      </c>
      <c r="C20" s="658"/>
      <c r="D20" s="639"/>
      <c r="E20" s="653">
        <f t="shared" ref="E20:F20" si="2">SUM(E18:E19)</f>
        <v>12001</v>
      </c>
      <c r="F20" s="654">
        <f t="shared" si="2"/>
        <v>1</v>
      </c>
      <c r="H20" s="639"/>
      <c r="I20" s="653">
        <f t="shared" ref="I20:J20" si="3">SUM(I18:I19)</f>
        <v>538</v>
      </c>
      <c r="J20" s="654">
        <f t="shared" si="3"/>
        <v>1</v>
      </c>
    </row>
    <row r="21" spans="1:10" x14ac:dyDescent="0.25">
      <c r="E21" s="11"/>
    </row>
    <row r="22" spans="1:10" x14ac:dyDescent="0.25">
      <c r="A22" s="544" t="s">
        <v>209</v>
      </c>
    </row>
  </sheetData>
  <mergeCells count="10">
    <mergeCell ref="K4:K5"/>
    <mergeCell ref="L4:L5"/>
    <mergeCell ref="A8:B8"/>
    <mergeCell ref="A3:B3"/>
    <mergeCell ref="A4:A5"/>
    <mergeCell ref="B4:B5"/>
    <mergeCell ref="C4:D4"/>
    <mergeCell ref="E4:F4"/>
    <mergeCell ref="G4:H4"/>
    <mergeCell ref="I4:J4"/>
  </mergeCells>
  <hyperlinks>
    <hyperlink ref="A22" location="'0 Seznam'!A1" display="Seznam" xr:uid="{A4AD7EA4-0C3C-410A-A1FB-CAAE41A0B074}"/>
  </hyperlinks>
  <pageMargins left="0.70866141732283472" right="0.70866141732283472" top="0.78740157480314965" bottom="0.78740157480314965" header="0.31496062992125984" footer="0.31496062992125984"/>
  <pageSetup paperSize="9" scale="66" orientation="landscape" r:id="rId1"/>
  <headerFooter>
    <oddHeader xml:space="preserve">&amp;LČ. j.: 842/2025-1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4B084"/>
    <pageSetUpPr fitToPage="1"/>
  </sheetPr>
  <dimension ref="A1:X91"/>
  <sheetViews>
    <sheetView zoomScale="85" zoomScaleNormal="85" workbookViewId="0">
      <selection activeCell="D66" sqref="D66"/>
    </sheetView>
  </sheetViews>
  <sheetFormatPr defaultRowHeight="15" x14ac:dyDescent="0.25"/>
  <cols>
    <col min="1" max="1" width="10.5703125" customWidth="1"/>
    <col min="2" max="2" width="52.28515625" customWidth="1"/>
    <col min="3" max="20" width="10.85546875" customWidth="1"/>
    <col min="21" max="22" width="12.140625" customWidth="1"/>
    <col min="23" max="24" width="13.140625" customWidth="1"/>
  </cols>
  <sheetData>
    <row r="1" spans="1:24" ht="27.75" x14ac:dyDescent="0.25">
      <c r="A1" s="299" t="s">
        <v>243</v>
      </c>
    </row>
    <row r="2" spans="1:24" ht="15.75" thickBot="1" x14ac:dyDescent="0.3"/>
    <row r="3" spans="1:24" ht="15.75" customHeight="1" thickBot="1" x14ac:dyDescent="0.3">
      <c r="A3" s="882" t="s">
        <v>99</v>
      </c>
      <c r="B3" s="883"/>
      <c r="C3" s="300"/>
      <c r="D3" s="608">
        <v>0.15</v>
      </c>
      <c r="E3" s="607"/>
      <c r="F3" s="659"/>
      <c r="G3" s="659"/>
      <c r="H3" s="608">
        <v>0.22</v>
      </c>
      <c r="I3" s="607"/>
      <c r="J3" s="608">
        <v>0.05</v>
      </c>
      <c r="K3" s="607"/>
      <c r="L3" s="608">
        <v>0.05</v>
      </c>
      <c r="M3" s="607"/>
      <c r="N3" s="608">
        <v>0.3</v>
      </c>
      <c r="O3" s="607"/>
      <c r="P3" s="608">
        <v>0.03</v>
      </c>
      <c r="Q3" s="607"/>
      <c r="R3" s="608">
        <v>3.5000000000000003E-2</v>
      </c>
      <c r="S3" s="607"/>
      <c r="T3" s="608">
        <v>6.5000000000000002E-2</v>
      </c>
      <c r="U3" s="607"/>
      <c r="V3" s="608">
        <v>0.1</v>
      </c>
      <c r="W3" s="660">
        <f>SUM(C3:V3)</f>
        <v>1.0000000000000002</v>
      </c>
      <c r="X3" s="610">
        <v>0.38670456807660647</v>
      </c>
    </row>
    <row r="4" spans="1:24" ht="30" customHeight="1" x14ac:dyDescent="0.25">
      <c r="A4" s="884" t="s">
        <v>2</v>
      </c>
      <c r="B4" s="886" t="s">
        <v>3</v>
      </c>
      <c r="C4" s="891" t="s">
        <v>111</v>
      </c>
      <c r="D4" s="892"/>
      <c r="E4" s="903" t="s">
        <v>100</v>
      </c>
      <c r="F4" s="904"/>
      <c r="G4" s="904"/>
      <c r="H4" s="905"/>
      <c r="I4" s="891" t="s">
        <v>101</v>
      </c>
      <c r="J4" s="892"/>
      <c r="K4" s="891" t="s">
        <v>272</v>
      </c>
      <c r="L4" s="892"/>
      <c r="M4" s="884" t="s">
        <v>102</v>
      </c>
      <c r="N4" s="902"/>
      <c r="O4" s="884" t="s">
        <v>103</v>
      </c>
      <c r="P4" s="902"/>
      <c r="Q4" s="884" t="s">
        <v>146</v>
      </c>
      <c r="R4" s="902"/>
      <c r="S4" s="884" t="s">
        <v>104</v>
      </c>
      <c r="T4" s="902"/>
      <c r="U4" s="884" t="s">
        <v>113</v>
      </c>
      <c r="V4" s="902"/>
      <c r="W4" s="893" t="s">
        <v>105</v>
      </c>
      <c r="X4" s="893" t="s">
        <v>106</v>
      </c>
    </row>
    <row r="5" spans="1:24" ht="15.75" thickBot="1" x14ac:dyDescent="0.3">
      <c r="A5" s="885"/>
      <c r="B5" s="887"/>
      <c r="C5" s="306" t="s">
        <v>28</v>
      </c>
      <c r="D5" s="307" t="s">
        <v>109</v>
      </c>
      <c r="E5" s="302" t="s">
        <v>107</v>
      </c>
      <c r="F5" s="303" t="s">
        <v>108</v>
      </c>
      <c r="G5" s="304" t="s">
        <v>28</v>
      </c>
      <c r="H5" s="305" t="s">
        <v>109</v>
      </c>
      <c r="I5" s="306" t="s">
        <v>28</v>
      </c>
      <c r="J5" s="307" t="s">
        <v>109</v>
      </c>
      <c r="K5" s="306" t="s">
        <v>28</v>
      </c>
      <c r="L5" s="307" t="s">
        <v>109</v>
      </c>
      <c r="M5" s="306" t="s">
        <v>28</v>
      </c>
      <c r="N5" s="307" t="s">
        <v>109</v>
      </c>
      <c r="O5" s="306" t="s">
        <v>28</v>
      </c>
      <c r="P5" s="307" t="s">
        <v>109</v>
      </c>
      <c r="Q5" s="306" t="s">
        <v>28</v>
      </c>
      <c r="R5" s="307" t="s">
        <v>109</v>
      </c>
      <c r="S5" s="306" t="s">
        <v>28</v>
      </c>
      <c r="T5" s="307" t="s">
        <v>109</v>
      </c>
      <c r="U5" s="306" t="s">
        <v>28</v>
      </c>
      <c r="V5" s="307" t="s">
        <v>109</v>
      </c>
      <c r="W5" s="894"/>
      <c r="X5" s="894"/>
    </row>
    <row r="6" spans="1:24" x14ac:dyDescent="0.25">
      <c r="A6" s="325">
        <v>12000</v>
      </c>
      <c r="B6" s="326" t="s">
        <v>5</v>
      </c>
      <c r="C6" s="661"/>
      <c r="D6" s="662">
        <f>D23</f>
        <v>7.4823793443766828E-2</v>
      </c>
      <c r="E6" s="661"/>
      <c r="F6" s="663"/>
      <c r="G6" s="664"/>
      <c r="H6" s="662">
        <f>0.5*H23+0.3*H40+0.2*H57</f>
        <v>4.5658948110656586E-2</v>
      </c>
      <c r="I6" s="661"/>
      <c r="J6" s="662">
        <f>J23</f>
        <v>7.478053458398054E-2</v>
      </c>
      <c r="K6" s="665"/>
      <c r="L6" s="665">
        <f>0.5*L23+0.3*L40+0.2*L57</f>
        <v>7.5007400196980767E-2</v>
      </c>
      <c r="M6" s="661"/>
      <c r="N6" s="665">
        <f>N23</f>
        <v>0.1032821000448193</v>
      </c>
      <c r="O6" s="661"/>
      <c r="P6" s="662">
        <f>P23</f>
        <v>1.5528070541887049E-2</v>
      </c>
      <c r="Q6" s="661"/>
      <c r="R6" s="665">
        <f>R23</f>
        <v>4.8276253684255976E-2</v>
      </c>
      <c r="S6" s="661"/>
      <c r="T6" s="662">
        <f>0.5*T40+0.3*T57+0.2*T74</f>
        <v>8.0742443403703554E-2</v>
      </c>
      <c r="U6" s="661"/>
      <c r="V6" s="662">
        <f>0.5*V40+0.3*V57+0.2*V74</f>
        <v>9.5448532606092762E-2</v>
      </c>
      <c r="W6" s="666">
        <f t="array" ref="W6">SUM($C$3:$V$3*C6:V6)</f>
        <v>7.6691187430458899E-2</v>
      </c>
      <c r="X6" s="667">
        <f>W6*$X$3</f>
        <v>2.9656832510577678E-2</v>
      </c>
    </row>
    <row r="7" spans="1:24" ht="15" customHeight="1" x14ac:dyDescent="0.25">
      <c r="A7" s="325">
        <v>13000</v>
      </c>
      <c r="B7" s="327" t="s">
        <v>6</v>
      </c>
      <c r="C7" s="668"/>
      <c r="D7" s="669">
        <f t="shared" ref="D7:D20" si="0">D24</f>
        <v>5.1141245067048015E-2</v>
      </c>
      <c r="E7" s="663"/>
      <c r="F7" s="663"/>
      <c r="G7" s="663"/>
      <c r="H7" s="669">
        <f t="shared" ref="H7:H20" si="1">0.5*H24+0.3*H41+0.2*H58</f>
        <v>2.7898825299856718E-2</v>
      </c>
      <c r="I7" s="668"/>
      <c r="J7" s="669">
        <f t="shared" ref="J7:J20" si="2">J24</f>
        <v>6.5473718507204584E-2</v>
      </c>
      <c r="K7" s="670"/>
      <c r="L7" s="670">
        <f t="shared" ref="L7:L20" si="3">0.5*L24+0.3*L41+0.2*L58</f>
        <v>5.8966028711628073E-2</v>
      </c>
      <c r="M7" s="668"/>
      <c r="N7" s="670">
        <f t="shared" ref="N7:N20" si="4">N24</f>
        <v>2.3520539437054677E-2</v>
      </c>
      <c r="O7" s="668"/>
      <c r="P7" s="669">
        <f t="shared" ref="P7:P20" si="5">P24</f>
        <v>0.15684900739888641</v>
      </c>
      <c r="Q7" s="668"/>
      <c r="R7" s="670">
        <f t="shared" ref="R7:R20" si="6">R24</f>
        <v>2.6448796634984196E-3</v>
      </c>
      <c r="S7" s="668"/>
      <c r="T7" s="669">
        <f t="shared" ref="T7:T20" si="7">0.5*T41+0.3*T58+0.2*T75</f>
        <v>1.8598695910183705E-2</v>
      </c>
      <c r="U7" s="668"/>
      <c r="V7" s="669">
        <f t="shared" ref="V7:V20" si="8">0.5*V41+0.3*V58+0.2*V75</f>
        <v>3.3983464736927135E-2</v>
      </c>
      <c r="W7" s="671">
        <f t="array" ref="W7">SUM($C$3:$V$3*C7:V7)</f>
        <v>3.6492380236127407E-2</v>
      </c>
      <c r="X7" s="672">
        <f t="shared" ref="X7:X20" si="9">W7*$X$3</f>
        <v>1.4111770137298939E-2</v>
      </c>
    </row>
    <row r="8" spans="1:24" x14ac:dyDescent="0.25">
      <c r="A8" s="325">
        <v>16000</v>
      </c>
      <c r="B8" s="327" t="s">
        <v>218</v>
      </c>
      <c r="C8" s="668"/>
      <c r="D8" s="669">
        <f t="shared" si="0"/>
        <v>2.2053933095095367E-2</v>
      </c>
      <c r="E8" s="663"/>
      <c r="F8" s="663"/>
      <c r="G8" s="663"/>
      <c r="H8" s="670">
        <f t="shared" si="1"/>
        <v>7.6778768206728605E-3</v>
      </c>
      <c r="I8" s="668"/>
      <c r="J8" s="669">
        <f t="shared" si="2"/>
        <v>2.8024688916464258E-2</v>
      </c>
      <c r="K8" s="670"/>
      <c r="L8" s="670">
        <f t="shared" si="3"/>
        <v>1.5019210403869146E-2</v>
      </c>
      <c r="M8" s="668"/>
      <c r="N8" s="670">
        <f t="shared" si="4"/>
        <v>1.7436718653955623E-2</v>
      </c>
      <c r="O8" s="668"/>
      <c r="P8" s="669">
        <f t="shared" si="5"/>
        <v>0</v>
      </c>
      <c r="Q8" s="668"/>
      <c r="R8" s="670">
        <f t="shared" si="6"/>
        <v>6.4173206828258667E-2</v>
      </c>
      <c r="S8" s="668"/>
      <c r="T8" s="669">
        <f t="shared" si="7"/>
        <v>1.2219919798955448E-2</v>
      </c>
      <c r="U8" s="668"/>
      <c r="V8" s="669">
        <f t="shared" si="8"/>
        <v>2.5342733555041182E-2</v>
      </c>
      <c r="W8" s="672">
        <f t="array" ref="W8">SUM($C$3:$V$3*C8:V8)</f>
        <v>1.7955063808440967E-2</v>
      </c>
      <c r="X8" s="672">
        <f t="shared" si="9"/>
        <v>6.9433051948310735E-3</v>
      </c>
    </row>
    <row r="9" spans="1:24" x14ac:dyDescent="0.25">
      <c r="A9" s="325">
        <v>17000</v>
      </c>
      <c r="B9" s="327" t="s">
        <v>9</v>
      </c>
      <c r="C9" s="668"/>
      <c r="D9" s="669">
        <f t="shared" si="0"/>
        <v>7.7505697681615346E-2</v>
      </c>
      <c r="E9" s="663"/>
      <c r="F9" s="663"/>
      <c r="G9" s="663"/>
      <c r="H9" s="670">
        <f t="shared" si="1"/>
        <v>6.7822650239872218E-2</v>
      </c>
      <c r="I9" s="668"/>
      <c r="J9" s="669">
        <f t="shared" si="2"/>
        <v>8.3322203297400366E-2</v>
      </c>
      <c r="K9" s="670"/>
      <c r="L9" s="670">
        <f t="shared" si="3"/>
        <v>7.5649027315123601E-2</v>
      </c>
      <c r="M9" s="668"/>
      <c r="N9" s="670">
        <f t="shared" si="4"/>
        <v>5.1665739517608687E-2</v>
      </c>
      <c r="O9" s="668"/>
      <c r="P9" s="669">
        <f t="shared" si="5"/>
        <v>0.16124297391399561</v>
      </c>
      <c r="Q9" s="668"/>
      <c r="R9" s="670">
        <f t="shared" si="6"/>
        <v>6.7509804528645953E-2</v>
      </c>
      <c r="S9" s="668"/>
      <c r="T9" s="669">
        <f t="shared" si="7"/>
        <v>3.4873905096806684E-2</v>
      </c>
      <c r="U9" s="668"/>
      <c r="V9" s="669">
        <f t="shared" si="8"/>
        <v>8.1662708129492168E-2</v>
      </c>
      <c r="W9" s="671">
        <f t="array" ref="W9">SUM($C$3:$V$3*C9:V9)</f>
        <v>6.7628328111087127E-2</v>
      </c>
      <c r="X9" s="672">
        <f t="shared" si="9"/>
        <v>2.615218341194097E-2</v>
      </c>
    </row>
    <row r="10" spans="1:24" x14ac:dyDescent="0.25">
      <c r="A10" s="325">
        <v>18000</v>
      </c>
      <c r="B10" s="327" t="s">
        <v>10</v>
      </c>
      <c r="C10" s="668"/>
      <c r="D10" s="669">
        <f t="shared" si="0"/>
        <v>4.6501027788848161E-2</v>
      </c>
      <c r="E10" s="663"/>
      <c r="F10" s="663"/>
      <c r="G10" s="663"/>
      <c r="H10" s="670">
        <f t="shared" si="1"/>
        <v>7.8708164794298194E-2</v>
      </c>
      <c r="I10" s="668"/>
      <c r="J10" s="669">
        <f t="shared" si="2"/>
        <v>4.9806138286165438E-2</v>
      </c>
      <c r="K10" s="670"/>
      <c r="L10" s="670">
        <f t="shared" si="3"/>
        <v>5.428239937085351E-2</v>
      </c>
      <c r="M10" s="668"/>
      <c r="N10" s="670">
        <f t="shared" si="4"/>
        <v>2.4104114288143418E-2</v>
      </c>
      <c r="O10" s="668"/>
      <c r="P10" s="669">
        <f t="shared" si="5"/>
        <v>5.0632158276805006E-2</v>
      </c>
      <c r="Q10" s="668"/>
      <c r="R10" s="670">
        <f t="shared" si="6"/>
        <v>7.7204188970653297E-3</v>
      </c>
      <c r="S10" s="668"/>
      <c r="T10" s="669">
        <f t="shared" si="7"/>
        <v>5.0604228486477373E-2</v>
      </c>
      <c r="U10" s="668"/>
      <c r="V10" s="669">
        <f t="shared" si="8"/>
        <v>5.7362168084230419E-2</v>
      </c>
      <c r="W10" s="671">
        <f t="array" ref="W10">SUM($C$3:$V$3*C10:V10)</f>
        <v>4.7541282662112314E-2</v>
      </c>
      <c r="X10" s="672">
        <f t="shared" si="9"/>
        <v>1.8384431177660001E-2</v>
      </c>
    </row>
    <row r="11" spans="1:24" x14ac:dyDescent="0.25">
      <c r="A11" s="325">
        <v>19000</v>
      </c>
      <c r="B11" s="327" t="s">
        <v>11</v>
      </c>
      <c r="C11" s="668"/>
      <c r="D11" s="669">
        <f t="shared" si="0"/>
        <v>3.1957839189033915E-2</v>
      </c>
      <c r="E11" s="663"/>
      <c r="F11" s="663"/>
      <c r="G11" s="663"/>
      <c r="H11" s="670">
        <f t="shared" si="1"/>
        <v>1.4580310768650972E-2</v>
      </c>
      <c r="I11" s="668"/>
      <c r="J11" s="669">
        <f t="shared" si="2"/>
        <v>3.2595467189335446E-2</v>
      </c>
      <c r="K11" s="670"/>
      <c r="L11" s="670">
        <f t="shared" si="3"/>
        <v>3.6784400936584985E-2</v>
      </c>
      <c r="M11" s="668"/>
      <c r="N11" s="670">
        <f t="shared" si="4"/>
        <v>2.3791254674324629E-2</v>
      </c>
      <c r="O11" s="668"/>
      <c r="P11" s="669">
        <f t="shared" si="5"/>
        <v>9.5103490216976824E-2</v>
      </c>
      <c r="Q11" s="668"/>
      <c r="R11" s="670">
        <f t="shared" si="6"/>
        <v>9.8257168937388676E-3</v>
      </c>
      <c r="S11" s="668"/>
      <c r="T11" s="669">
        <f t="shared" si="7"/>
        <v>5.5714843219607339E-3</v>
      </c>
      <c r="U11" s="668"/>
      <c r="V11" s="669">
        <f t="shared" si="8"/>
        <v>3.855341775302204E-2</v>
      </c>
      <c r="W11" s="671">
        <f t="array" ref="W11">SUM($C$3:$V$3*C11:V11)</f>
        <v>2.6022207110071527E-2</v>
      </c>
      <c r="X11" s="672">
        <f t="shared" si="9"/>
        <v>1.0062906360900207E-2</v>
      </c>
    </row>
    <row r="12" spans="1:24" x14ac:dyDescent="0.25">
      <c r="A12" s="325">
        <v>22000</v>
      </c>
      <c r="B12" s="327" t="s">
        <v>13</v>
      </c>
      <c r="C12" s="668"/>
      <c r="D12" s="669">
        <f t="shared" si="0"/>
        <v>3.8366851933960583E-2</v>
      </c>
      <c r="E12" s="663"/>
      <c r="F12" s="663"/>
      <c r="G12" s="663"/>
      <c r="H12" s="670">
        <f t="shared" si="1"/>
        <v>5.3242143519651945E-2</v>
      </c>
      <c r="I12" s="668"/>
      <c r="J12" s="669">
        <f t="shared" si="2"/>
        <v>5.0538821008772536E-2</v>
      </c>
      <c r="K12" s="670"/>
      <c r="L12" s="670">
        <f t="shared" si="3"/>
        <v>3.0516420866746146E-2</v>
      </c>
      <c r="M12" s="668"/>
      <c r="N12" s="670">
        <f t="shared" si="4"/>
        <v>0.14629748375634183</v>
      </c>
      <c r="O12" s="668"/>
      <c r="P12" s="669">
        <f t="shared" si="5"/>
        <v>1.4631154475882354E-3</v>
      </c>
      <c r="Q12" s="668"/>
      <c r="R12" s="670">
        <f t="shared" si="6"/>
        <v>3.3366412581161867E-2</v>
      </c>
      <c r="S12" s="668"/>
      <c r="T12" s="669">
        <f t="shared" si="7"/>
        <v>0.18457625122253116</v>
      </c>
      <c r="U12" s="668"/>
      <c r="V12" s="669">
        <f t="shared" si="8"/>
        <v>0.10047250600588459</v>
      </c>
      <c r="W12" s="671">
        <f t="array" ref="W12">SUM($C$3:$V$3*C12:V12)</f>
        <v>8.8666731418917302E-2</v>
      </c>
      <c r="X12" s="672">
        <f t="shared" si="9"/>
        <v>3.4287830076116889E-2</v>
      </c>
    </row>
    <row r="13" spans="1:24" x14ac:dyDescent="0.25">
      <c r="A13" s="325">
        <v>23000</v>
      </c>
      <c r="B13" s="327" t="s">
        <v>14</v>
      </c>
      <c r="C13" s="668"/>
      <c r="D13" s="669">
        <f t="shared" si="0"/>
        <v>9.1699755472648817E-2</v>
      </c>
      <c r="E13" s="663"/>
      <c r="F13" s="663"/>
      <c r="G13" s="663"/>
      <c r="H13" s="670">
        <f t="shared" si="1"/>
        <v>7.5367797330237282E-2</v>
      </c>
      <c r="I13" s="668"/>
      <c r="J13" s="669">
        <f t="shared" si="2"/>
        <v>8.5795996886551845E-2</v>
      </c>
      <c r="K13" s="670"/>
      <c r="L13" s="670">
        <f t="shared" si="3"/>
        <v>9.0796999801001158E-2</v>
      </c>
      <c r="M13" s="668"/>
      <c r="N13" s="670">
        <f t="shared" si="4"/>
        <v>0.11244471731963165</v>
      </c>
      <c r="O13" s="668"/>
      <c r="P13" s="669">
        <f t="shared" si="5"/>
        <v>0.23457637639773454</v>
      </c>
      <c r="Q13" s="668"/>
      <c r="R13" s="670">
        <f t="shared" si="6"/>
        <v>6.4501434826422718E-3</v>
      </c>
      <c r="S13" s="668"/>
      <c r="T13" s="669">
        <f t="shared" si="7"/>
        <v>8.775969696471457E-2</v>
      </c>
      <c r="U13" s="668"/>
      <c r="V13" s="669">
        <f t="shared" si="8"/>
        <v>6.1541831056727635E-2</v>
      </c>
      <c r="W13" s="671">
        <f t="array" ref="W13">SUM($C$3:$V$3*C13:V13)</f>
        <v>9.2020553486020409E-2</v>
      </c>
      <c r="X13" s="672">
        <f t="shared" si="9"/>
        <v>3.5584768389981786E-2</v>
      </c>
    </row>
    <row r="14" spans="1:24" x14ac:dyDescent="0.25">
      <c r="A14" s="325">
        <v>24000</v>
      </c>
      <c r="B14" s="327" t="s">
        <v>15</v>
      </c>
      <c r="C14" s="668"/>
      <c r="D14" s="669">
        <f t="shared" si="0"/>
        <v>4.0999702718440549E-2</v>
      </c>
      <c r="E14" s="663"/>
      <c r="F14" s="663"/>
      <c r="G14" s="663"/>
      <c r="H14" s="670">
        <f t="shared" si="1"/>
        <v>4.0866895243582411E-2</v>
      </c>
      <c r="I14" s="668"/>
      <c r="J14" s="669">
        <f t="shared" si="2"/>
        <v>4.8490149242938853E-2</v>
      </c>
      <c r="K14" s="670"/>
      <c r="L14" s="670">
        <f t="shared" si="3"/>
        <v>4.6462731353952673E-2</v>
      </c>
      <c r="M14" s="668"/>
      <c r="N14" s="670">
        <f t="shared" si="4"/>
        <v>4.7347214609015059E-2</v>
      </c>
      <c r="O14" s="668"/>
      <c r="P14" s="669">
        <f t="shared" si="5"/>
        <v>3.5136428941329317E-2</v>
      </c>
      <c r="Q14" s="668"/>
      <c r="R14" s="670">
        <f t="shared" si="6"/>
        <v>2.0294618567842308E-2</v>
      </c>
      <c r="S14" s="668"/>
      <c r="T14" s="669">
        <f t="shared" si="7"/>
        <v>5.5674415467253886E-2</v>
      </c>
      <c r="U14" s="668"/>
      <c r="V14" s="669">
        <f t="shared" si="8"/>
        <v>5.7942865639096175E-2</v>
      </c>
      <c r="W14" s="671">
        <f t="array" ref="W14">SUM($C$3:$V$3*C14:V14)</f>
        <v>4.527000886129879E-2</v>
      </c>
      <c r="X14" s="672">
        <f t="shared" si="9"/>
        <v>1.7506119223532696E-2</v>
      </c>
    </row>
    <row r="15" spans="1:24" x14ac:dyDescent="0.25">
      <c r="A15" s="325">
        <v>25000</v>
      </c>
      <c r="B15" s="327" t="s">
        <v>16</v>
      </c>
      <c r="C15" s="668"/>
      <c r="D15" s="669">
        <f t="shared" si="0"/>
        <v>5.1338059375546266E-2</v>
      </c>
      <c r="E15" s="663"/>
      <c r="F15" s="663"/>
      <c r="G15" s="663"/>
      <c r="H15" s="670">
        <f t="shared" si="1"/>
        <v>3.7657668663468917E-2</v>
      </c>
      <c r="I15" s="668"/>
      <c r="J15" s="669">
        <f t="shared" si="2"/>
        <v>5.8876142240604834E-2</v>
      </c>
      <c r="K15" s="670"/>
      <c r="L15" s="670">
        <f t="shared" si="3"/>
        <v>5.2511501034647176E-2</v>
      </c>
      <c r="M15" s="668"/>
      <c r="N15" s="670">
        <f t="shared" si="4"/>
        <v>0.10037966665457469</v>
      </c>
      <c r="O15" s="668"/>
      <c r="P15" s="669">
        <f t="shared" si="5"/>
        <v>1.3148535692073148E-2</v>
      </c>
      <c r="Q15" s="668"/>
      <c r="R15" s="670">
        <f t="shared" si="6"/>
        <v>9.9454959573970943E-3</v>
      </c>
      <c r="S15" s="668"/>
      <c r="T15" s="669">
        <f t="shared" si="7"/>
        <v>4.6823620854010248E-2</v>
      </c>
      <c r="U15" s="668"/>
      <c r="V15" s="669">
        <f t="shared" si="8"/>
        <v>4.4393577998009165E-2</v>
      </c>
      <c r="W15" s="671">
        <f t="array" ref="W15">SUM($C$3:$V$3*C15:V15)</f>
        <v>5.9894119757012788E-2</v>
      </c>
      <c r="X15" s="672">
        <f t="shared" si="9"/>
        <v>2.3161329710964171E-2</v>
      </c>
    </row>
    <row r="16" spans="1:24" x14ac:dyDescent="0.25">
      <c r="A16" s="325">
        <v>27000</v>
      </c>
      <c r="B16" s="327" t="s">
        <v>18</v>
      </c>
      <c r="C16" s="668"/>
      <c r="D16" s="669">
        <f t="shared" si="0"/>
        <v>9.7126751886968177E-2</v>
      </c>
      <c r="E16" s="663"/>
      <c r="F16" s="663"/>
      <c r="G16" s="663"/>
      <c r="H16" s="670">
        <f t="shared" si="1"/>
        <v>7.4280833005782462E-2</v>
      </c>
      <c r="I16" s="668"/>
      <c r="J16" s="669">
        <f t="shared" si="2"/>
        <v>7.9488089269017209E-2</v>
      </c>
      <c r="K16" s="670"/>
      <c r="L16" s="670">
        <f t="shared" si="3"/>
        <v>8.1171744848771626E-2</v>
      </c>
      <c r="M16" s="668"/>
      <c r="N16" s="670">
        <f t="shared" si="4"/>
        <v>9.95401672701451E-2</v>
      </c>
      <c r="O16" s="668"/>
      <c r="P16" s="669">
        <f t="shared" si="5"/>
        <v>1.8853590244621143E-2</v>
      </c>
      <c r="Q16" s="668"/>
      <c r="R16" s="670">
        <f t="shared" si="6"/>
        <v>7.2354248555673642E-2</v>
      </c>
      <c r="S16" s="668"/>
      <c r="T16" s="669">
        <f t="shared" si="7"/>
        <v>0.18295447839596463</v>
      </c>
      <c r="U16" s="668"/>
      <c r="V16" s="669">
        <f t="shared" si="8"/>
        <v>7.1393916222109083E-2</v>
      </c>
      <c r="W16" s="671">
        <f t="array" ref="W16">SUM($C$3:$V$3*C16:V16)</f>
        <v>9.0935277055986141E-2</v>
      </c>
      <c r="X16" s="672">
        <f t="shared" si="9"/>
        <v>3.5165087036861664E-2</v>
      </c>
    </row>
    <row r="17" spans="1:24" x14ac:dyDescent="0.25">
      <c r="A17" s="325">
        <v>28000</v>
      </c>
      <c r="B17" s="327" t="s">
        <v>19</v>
      </c>
      <c r="C17" s="668"/>
      <c r="D17" s="669">
        <f t="shared" si="0"/>
        <v>6.9488841320918635E-2</v>
      </c>
      <c r="E17" s="663"/>
      <c r="F17" s="663"/>
      <c r="G17" s="663"/>
      <c r="H17" s="670">
        <f t="shared" si="1"/>
        <v>5.0400396579156528E-2</v>
      </c>
      <c r="I17" s="668"/>
      <c r="J17" s="669">
        <f t="shared" si="2"/>
        <v>7.658730494646919E-2</v>
      </c>
      <c r="K17" s="670"/>
      <c r="L17" s="670">
        <f t="shared" si="3"/>
        <v>7.2469146106118987E-2</v>
      </c>
      <c r="M17" s="668"/>
      <c r="N17" s="670">
        <f t="shared" si="4"/>
        <v>4.5538163002803625E-2</v>
      </c>
      <c r="O17" s="668"/>
      <c r="P17" s="669">
        <f t="shared" si="5"/>
        <v>0.14353180802391358</v>
      </c>
      <c r="Q17" s="668"/>
      <c r="R17" s="670">
        <f t="shared" si="6"/>
        <v>2.9010909906599949E-2</v>
      </c>
      <c r="S17" s="668"/>
      <c r="T17" s="669">
        <f t="shared" si="7"/>
        <v>3.461294751336029E-2</v>
      </c>
      <c r="U17" s="668"/>
      <c r="V17" s="669">
        <f t="shared" si="8"/>
        <v>7.5528610329727824E-2</v>
      </c>
      <c r="W17" s="671">
        <f t="array" ref="W17">SUM($C$3:$V$3*C17:V17)</f>
        <v>5.7749723607812338E-2</v>
      </c>
      <c r="X17" s="672">
        <f t="shared" si="9"/>
        <v>2.2332081924302475E-2</v>
      </c>
    </row>
    <row r="18" spans="1:24" x14ac:dyDescent="0.25">
      <c r="A18" s="325">
        <v>31000</v>
      </c>
      <c r="B18" s="327" t="s">
        <v>20</v>
      </c>
      <c r="C18" s="668"/>
      <c r="D18" s="669">
        <f t="shared" si="0"/>
        <v>0.10918827672269303</v>
      </c>
      <c r="E18" s="663"/>
      <c r="F18" s="663"/>
      <c r="G18" s="663"/>
      <c r="H18" s="670">
        <f t="shared" si="1"/>
        <v>0.20461288818432319</v>
      </c>
      <c r="I18" s="668"/>
      <c r="J18" s="669">
        <f t="shared" si="2"/>
        <v>6.33770521301361E-2</v>
      </c>
      <c r="K18" s="670"/>
      <c r="L18" s="670">
        <f t="shared" si="3"/>
        <v>0.1054646609328195</v>
      </c>
      <c r="M18" s="668"/>
      <c r="N18" s="670">
        <f t="shared" si="4"/>
        <v>2.5788283078820008E-2</v>
      </c>
      <c r="O18" s="668"/>
      <c r="P18" s="669">
        <f t="shared" si="5"/>
        <v>6.7987753511869701E-3</v>
      </c>
      <c r="Q18" s="668"/>
      <c r="R18" s="670">
        <f t="shared" si="6"/>
        <v>0.2178615339769</v>
      </c>
      <c r="S18" s="668"/>
      <c r="T18" s="669">
        <f t="shared" si="7"/>
        <v>2.8863065513265004E-2</v>
      </c>
      <c r="U18" s="668"/>
      <c r="V18" s="669">
        <f t="shared" si="8"/>
        <v>4.6157967023974622E-2</v>
      </c>
      <c r="W18" s="671">
        <f t="array" ref="W18">SUM($C$3:$V$3*C18:V18)</f>
        <v>9.1892660396235629E-2</v>
      </c>
      <c r="X18" s="672">
        <f t="shared" si="9"/>
        <v>3.5535311547936578E-2</v>
      </c>
    </row>
    <row r="19" spans="1:24" x14ac:dyDescent="0.25">
      <c r="A19" s="325">
        <v>41000</v>
      </c>
      <c r="B19" s="327" t="s">
        <v>21</v>
      </c>
      <c r="C19" s="668"/>
      <c r="D19" s="669">
        <f t="shared" si="0"/>
        <v>0.12301344294279624</v>
      </c>
      <c r="E19" s="663"/>
      <c r="F19" s="663"/>
      <c r="G19" s="663"/>
      <c r="H19" s="670">
        <f t="shared" si="1"/>
        <v>0.14477564481211183</v>
      </c>
      <c r="I19" s="668"/>
      <c r="J19" s="669">
        <f t="shared" si="2"/>
        <v>0.12230544655388448</v>
      </c>
      <c r="K19" s="670"/>
      <c r="L19" s="670">
        <f t="shared" si="3"/>
        <v>0.13608415771714483</v>
      </c>
      <c r="M19" s="668"/>
      <c r="N19" s="670">
        <f t="shared" si="4"/>
        <v>0.10309640197358916</v>
      </c>
      <c r="O19" s="668"/>
      <c r="P19" s="669">
        <f t="shared" si="5"/>
        <v>1.2253683181305316E-2</v>
      </c>
      <c r="Q19" s="668"/>
      <c r="R19" s="670">
        <f t="shared" si="6"/>
        <v>0.34723021400238052</v>
      </c>
      <c r="S19" s="668"/>
      <c r="T19" s="669">
        <f t="shared" si="7"/>
        <v>0.11865195209927173</v>
      </c>
      <c r="U19" s="668"/>
      <c r="V19" s="669">
        <f t="shared" si="8"/>
        <v>0.13923626597107328</v>
      </c>
      <c r="W19" s="671">
        <f t="array" ref="W19">SUM($C$3:$V$3*C19:V19)</f>
        <v>0.12830773057479472</v>
      </c>
      <c r="X19" s="672">
        <f t="shared" si="9"/>
        <v>4.9617185532815584E-2</v>
      </c>
    </row>
    <row r="20" spans="1:24" ht="15" customHeight="1" thickBot="1" x14ac:dyDescent="0.3">
      <c r="A20" s="328">
        <v>43000</v>
      </c>
      <c r="B20" s="329" t="s">
        <v>22</v>
      </c>
      <c r="C20" s="668"/>
      <c r="D20" s="669">
        <f t="shared" si="0"/>
        <v>7.4794781360620094E-2</v>
      </c>
      <c r="E20" s="673"/>
      <c r="F20" s="663"/>
      <c r="G20" s="674"/>
      <c r="H20" s="675">
        <f t="shared" si="1"/>
        <v>7.6448956627677894E-2</v>
      </c>
      <c r="I20" s="668"/>
      <c r="J20" s="669">
        <f t="shared" si="2"/>
        <v>8.0538246941074323E-2</v>
      </c>
      <c r="K20" s="670"/>
      <c r="L20" s="670">
        <f t="shared" si="3"/>
        <v>6.8814170403757813E-2</v>
      </c>
      <c r="M20" s="668"/>
      <c r="N20" s="670">
        <f t="shared" si="4"/>
        <v>7.5767435719172577E-2</v>
      </c>
      <c r="O20" s="668"/>
      <c r="P20" s="669">
        <f t="shared" si="5"/>
        <v>5.4881986371696848E-2</v>
      </c>
      <c r="Q20" s="668"/>
      <c r="R20" s="670">
        <f t="shared" si="6"/>
        <v>6.333614247393915E-2</v>
      </c>
      <c r="S20" s="668"/>
      <c r="T20" s="669">
        <f t="shared" si="7"/>
        <v>5.7472894951540926E-2</v>
      </c>
      <c r="U20" s="668"/>
      <c r="V20" s="669">
        <f t="shared" si="8"/>
        <v>7.0979434888591958E-2</v>
      </c>
      <c r="W20" s="671">
        <f t="array" ref="W20">SUM($C$3:$V$3*C20:V20)</f>
        <v>7.2932745483623662E-2</v>
      </c>
      <c r="X20" s="672">
        <f t="shared" si="9"/>
        <v>2.8203425840885761E-2</v>
      </c>
    </row>
    <row r="21" spans="1:24" ht="15.75" thickBot="1" x14ac:dyDescent="0.3">
      <c r="A21" s="900" t="s">
        <v>110</v>
      </c>
      <c r="B21" s="901"/>
      <c r="C21" s="676"/>
      <c r="D21" s="677">
        <f>SUM(D6:D20)</f>
        <v>1</v>
      </c>
      <c r="E21" s="678"/>
      <c r="F21" s="678"/>
      <c r="G21" s="678"/>
      <c r="H21" s="679">
        <f>SUM(H6:H20)</f>
        <v>1</v>
      </c>
      <c r="I21" s="676"/>
      <c r="J21" s="677">
        <f>SUM(J6:J20)</f>
        <v>0.99999999999999989</v>
      </c>
      <c r="K21" s="679"/>
      <c r="L21" s="677">
        <f>SUM(L6:L20)</f>
        <v>0.99999999999999989</v>
      </c>
      <c r="M21" s="676"/>
      <c r="N21" s="679">
        <f>SUM(N6:N20)</f>
        <v>1</v>
      </c>
      <c r="O21" s="676"/>
      <c r="P21" s="677">
        <f>SUM(P6:P20)</f>
        <v>1.0000000000000002</v>
      </c>
      <c r="Q21" s="676"/>
      <c r="R21" s="679">
        <f>SUM(R6:R20)</f>
        <v>1</v>
      </c>
      <c r="S21" s="676"/>
      <c r="T21" s="677">
        <f>SUM(T6:T20)</f>
        <v>1</v>
      </c>
      <c r="U21" s="676"/>
      <c r="V21" s="677">
        <f>SUM(V6:V20)</f>
        <v>1</v>
      </c>
      <c r="W21" s="680">
        <f>SUM(W6:W20)</f>
        <v>1</v>
      </c>
      <c r="X21" s="681">
        <f>SUM(X6:X20)</f>
        <v>0.38670456807660647</v>
      </c>
    </row>
    <row r="22" spans="1:24" ht="15.75" thickBot="1" x14ac:dyDescent="0.3"/>
    <row r="23" spans="1:24" x14ac:dyDescent="0.25">
      <c r="A23" s="330">
        <v>12000</v>
      </c>
      <c r="B23" s="326" t="s">
        <v>5</v>
      </c>
      <c r="C23" s="682">
        <v>5127.0307070630115</v>
      </c>
      <c r="D23" s="662">
        <f>C23/$C$38</f>
        <v>7.4823793443766828E-2</v>
      </c>
      <c r="E23" s="682">
        <v>24019</v>
      </c>
      <c r="F23" s="683">
        <v>29553</v>
      </c>
      <c r="G23" s="683">
        <f>E23+F23</f>
        <v>53572</v>
      </c>
      <c r="H23" s="662">
        <f>G23/$G$38</f>
        <v>4.6801261498947297E-2</v>
      </c>
      <c r="I23" s="682">
        <v>2552.9178592631879</v>
      </c>
      <c r="J23" s="662">
        <f>I23/$I$38</f>
        <v>7.478053458398054E-2</v>
      </c>
      <c r="K23" s="753">
        <v>1743.5</v>
      </c>
      <c r="L23" s="665">
        <f>K23/$K$38</f>
        <v>7.5723685639210406E-2</v>
      </c>
      <c r="M23" s="682"/>
      <c r="N23" s="665">
        <v>0.1032821000448193</v>
      </c>
      <c r="O23" s="682">
        <v>4251.5749999999998</v>
      </c>
      <c r="P23" s="662">
        <f>O23/$O$38</f>
        <v>1.5528070541887049E-2</v>
      </c>
      <c r="Q23" s="682"/>
      <c r="R23" s="662">
        <v>4.8276253684255976E-2</v>
      </c>
    </row>
    <row r="24" spans="1:24" ht="15" customHeight="1" x14ac:dyDescent="0.25">
      <c r="A24" s="730">
        <v>13000</v>
      </c>
      <c r="B24" s="731" t="s">
        <v>6</v>
      </c>
      <c r="C24" s="684">
        <v>3504.2694547857441</v>
      </c>
      <c r="D24" s="732">
        <f t="shared" ref="D24:D37" si="10">C24/$C$38</f>
        <v>5.1141245067048015E-2</v>
      </c>
      <c r="E24" s="684">
        <v>17027</v>
      </c>
      <c r="F24" s="685">
        <v>15158</v>
      </c>
      <c r="G24" s="685">
        <f t="shared" ref="G24:G37" si="11">E24+F24</f>
        <v>32185</v>
      </c>
      <c r="H24" s="732">
        <f t="shared" ref="H24:H37" si="12">G24/$G$38</f>
        <v>2.8117273974158492E-2</v>
      </c>
      <c r="I24" s="684">
        <v>2235.194308509529</v>
      </c>
      <c r="J24" s="732">
        <f t="shared" ref="J24:J37" si="13">I24/$I$38</f>
        <v>6.5473718507204584E-2</v>
      </c>
      <c r="K24" s="754">
        <v>1439.5</v>
      </c>
      <c r="L24" s="733">
        <f t="shared" ref="L24:L37" si="14">K24/$K$38</f>
        <v>6.2520358748289859E-2</v>
      </c>
      <c r="M24" s="684"/>
      <c r="N24" s="733">
        <v>2.3520539437054677E-2</v>
      </c>
      <c r="O24" s="684">
        <v>42945.149999999994</v>
      </c>
      <c r="P24" s="732">
        <f t="shared" ref="P24:P37" si="15">O24/$O$38</f>
        <v>0.15684900739888641</v>
      </c>
      <c r="Q24" s="684"/>
      <c r="R24" s="732">
        <v>2.6448796634984196E-3</v>
      </c>
    </row>
    <row r="25" spans="1:24" x14ac:dyDescent="0.25">
      <c r="A25" s="331">
        <v>16000</v>
      </c>
      <c r="B25" s="327" t="s">
        <v>218</v>
      </c>
      <c r="C25" s="684">
        <v>1511.1662612380755</v>
      </c>
      <c r="D25" s="669">
        <f t="shared" si="10"/>
        <v>2.2053933095095367E-2</v>
      </c>
      <c r="E25" s="684">
        <v>1931</v>
      </c>
      <c r="F25" s="685">
        <v>6280</v>
      </c>
      <c r="G25" s="685">
        <f t="shared" si="11"/>
        <v>8211</v>
      </c>
      <c r="H25" s="669">
        <f t="shared" si="12"/>
        <v>7.1732464378379797E-3</v>
      </c>
      <c r="I25" s="684">
        <v>956.7293043992629</v>
      </c>
      <c r="J25" s="669">
        <f t="shared" si="13"/>
        <v>2.8024688916464258E-2</v>
      </c>
      <c r="K25" s="755">
        <v>330.5</v>
      </c>
      <c r="L25" s="670">
        <f t="shared" si="14"/>
        <v>1.4354274794240918E-2</v>
      </c>
      <c r="M25" s="684"/>
      <c r="N25" s="670">
        <v>1.7436718653955623E-2</v>
      </c>
      <c r="O25" s="684">
        <v>0</v>
      </c>
      <c r="P25" s="669">
        <f t="shared" si="15"/>
        <v>0</v>
      </c>
      <c r="Q25" s="684"/>
      <c r="R25" s="669">
        <v>6.4173206828258667E-2</v>
      </c>
    </row>
    <row r="26" spans="1:24" x14ac:dyDescent="0.25">
      <c r="A26" s="331">
        <v>17000</v>
      </c>
      <c r="B26" s="327" t="s">
        <v>9</v>
      </c>
      <c r="C26" s="684">
        <v>5310.7985267363829</v>
      </c>
      <c r="D26" s="669">
        <f t="shared" si="10"/>
        <v>7.7505697681615346E-2</v>
      </c>
      <c r="E26" s="684">
        <v>29951</v>
      </c>
      <c r="F26" s="685">
        <v>50770</v>
      </c>
      <c r="G26" s="685">
        <f t="shared" si="11"/>
        <v>80721</v>
      </c>
      <c r="H26" s="669">
        <f t="shared" si="12"/>
        <v>7.0519014213703518E-2</v>
      </c>
      <c r="I26" s="684">
        <v>2844.5201957229542</v>
      </c>
      <c r="J26" s="669">
        <f t="shared" si="13"/>
        <v>8.3322203297400366E-2</v>
      </c>
      <c r="K26" s="755">
        <v>1749</v>
      </c>
      <c r="L26" s="670">
        <f t="shared" si="14"/>
        <v>7.5962561619144831E-2</v>
      </c>
      <c r="M26" s="684"/>
      <c r="N26" s="670">
        <v>5.1665739517608687E-2</v>
      </c>
      <c r="O26" s="684">
        <v>44148.214999999997</v>
      </c>
      <c r="P26" s="669">
        <f t="shared" si="15"/>
        <v>0.16124297391399561</v>
      </c>
      <c r="Q26" s="684"/>
      <c r="R26" s="669">
        <v>6.7509804528645953E-2</v>
      </c>
    </row>
    <row r="27" spans="1:24" x14ac:dyDescent="0.25">
      <c r="A27" s="331">
        <v>18000</v>
      </c>
      <c r="B27" s="327" t="s">
        <v>10</v>
      </c>
      <c r="C27" s="684">
        <v>3186.3152937119066</v>
      </c>
      <c r="D27" s="669">
        <f t="shared" si="10"/>
        <v>4.6501027788848161E-2</v>
      </c>
      <c r="E27" s="684">
        <v>32716</v>
      </c>
      <c r="F27" s="685">
        <v>46681</v>
      </c>
      <c r="G27" s="685">
        <f t="shared" si="11"/>
        <v>79397</v>
      </c>
      <c r="H27" s="669">
        <f t="shared" si="12"/>
        <v>6.9362348973940086E-2</v>
      </c>
      <c r="I27" s="684">
        <v>1700.3218904364721</v>
      </c>
      <c r="J27" s="669">
        <f t="shared" si="13"/>
        <v>4.9806138286165438E-2</v>
      </c>
      <c r="K27" s="755">
        <v>1257</v>
      </c>
      <c r="L27" s="670">
        <f t="shared" si="14"/>
        <v>5.4594019414102371E-2</v>
      </c>
      <c r="M27" s="684"/>
      <c r="N27" s="670">
        <v>2.4104114288143418E-2</v>
      </c>
      <c r="O27" s="684">
        <v>13863.05</v>
      </c>
      <c r="P27" s="669">
        <f t="shared" si="15"/>
        <v>5.0632158276805006E-2</v>
      </c>
      <c r="Q27" s="684"/>
      <c r="R27" s="669">
        <v>7.7204188970653297E-3</v>
      </c>
    </row>
    <row r="28" spans="1:24" x14ac:dyDescent="0.25">
      <c r="A28" s="331">
        <v>19000</v>
      </c>
      <c r="B28" s="327" t="s">
        <v>11</v>
      </c>
      <c r="C28" s="684">
        <v>2189.7957228899086</v>
      </c>
      <c r="D28" s="669">
        <f t="shared" si="10"/>
        <v>3.1957839189033915E-2</v>
      </c>
      <c r="E28" s="684">
        <v>12025</v>
      </c>
      <c r="F28" s="685">
        <v>6089</v>
      </c>
      <c r="G28" s="685">
        <f t="shared" si="11"/>
        <v>18114</v>
      </c>
      <c r="H28" s="669">
        <f t="shared" si="12"/>
        <v>1.5824648151869097E-2</v>
      </c>
      <c r="I28" s="684">
        <v>1112.7701985766187</v>
      </c>
      <c r="J28" s="669">
        <f t="shared" si="13"/>
        <v>3.2595467189335446E-2</v>
      </c>
      <c r="K28" s="755">
        <v>824.5</v>
      </c>
      <c r="L28" s="670">
        <f t="shared" si="14"/>
        <v>3.5809680991986795E-2</v>
      </c>
      <c r="M28" s="684"/>
      <c r="N28" s="670">
        <v>2.3791254674324629E-2</v>
      </c>
      <c r="O28" s="684">
        <v>26039.270000000004</v>
      </c>
      <c r="P28" s="669">
        <f t="shared" si="15"/>
        <v>9.5103490216976824E-2</v>
      </c>
      <c r="Q28" s="684"/>
      <c r="R28" s="669">
        <v>9.8257168937388676E-3</v>
      </c>
    </row>
    <row r="29" spans="1:24" x14ac:dyDescent="0.25">
      <c r="A29" s="331">
        <v>22000</v>
      </c>
      <c r="B29" s="327" t="s">
        <v>13</v>
      </c>
      <c r="C29" s="684">
        <v>2628.9502168396475</v>
      </c>
      <c r="D29" s="669">
        <f t="shared" si="10"/>
        <v>3.8366851933960583E-2</v>
      </c>
      <c r="E29" s="684">
        <v>20650</v>
      </c>
      <c r="F29" s="685">
        <v>39650</v>
      </c>
      <c r="G29" s="685">
        <f t="shared" si="11"/>
        <v>60300</v>
      </c>
      <c r="H29" s="669">
        <f t="shared" si="12"/>
        <v>5.2678938034542704E-2</v>
      </c>
      <c r="I29" s="684">
        <v>1725.3348007897223</v>
      </c>
      <c r="J29" s="669">
        <f t="shared" si="13"/>
        <v>5.0538821008772536E-2</v>
      </c>
      <c r="K29" s="755">
        <v>706.5</v>
      </c>
      <c r="L29" s="670">
        <f t="shared" si="14"/>
        <v>3.0684705422484745E-2</v>
      </c>
      <c r="M29" s="684"/>
      <c r="N29" s="670">
        <v>0.14629748375634183</v>
      </c>
      <c r="O29" s="684">
        <v>400.6</v>
      </c>
      <c r="P29" s="669">
        <f t="shared" si="15"/>
        <v>1.4631154475882354E-3</v>
      </c>
      <c r="Q29" s="684"/>
      <c r="R29" s="669">
        <v>3.3366412581161867E-2</v>
      </c>
    </row>
    <row r="30" spans="1:24" x14ac:dyDescent="0.25">
      <c r="A30" s="331">
        <v>23000</v>
      </c>
      <c r="B30" s="327" t="s">
        <v>14</v>
      </c>
      <c r="C30" s="684">
        <v>6283.3951674980917</v>
      </c>
      <c r="D30" s="669">
        <f t="shared" si="10"/>
        <v>9.1699755472648817E-2</v>
      </c>
      <c r="E30" s="684">
        <v>47163</v>
      </c>
      <c r="F30" s="685">
        <v>42065</v>
      </c>
      <c r="G30" s="685">
        <f t="shared" si="11"/>
        <v>89228</v>
      </c>
      <c r="H30" s="669">
        <f t="shared" si="12"/>
        <v>7.7950850463452348E-2</v>
      </c>
      <c r="I30" s="684">
        <v>2928.9725451078498</v>
      </c>
      <c r="J30" s="669">
        <f t="shared" si="13"/>
        <v>8.5795996886551845E-2</v>
      </c>
      <c r="K30" s="755">
        <v>2024.5</v>
      </c>
      <c r="L30" s="670">
        <f t="shared" si="14"/>
        <v>8.7928076614041561E-2</v>
      </c>
      <c r="M30" s="684"/>
      <c r="N30" s="670">
        <v>0.11244471731963165</v>
      </c>
      <c r="O30" s="684">
        <v>64226.850000000006</v>
      </c>
      <c r="P30" s="669">
        <f t="shared" si="15"/>
        <v>0.23457637639773454</v>
      </c>
      <c r="Q30" s="684"/>
      <c r="R30" s="669">
        <v>6.4501434826422718E-3</v>
      </c>
    </row>
    <row r="31" spans="1:24" x14ac:dyDescent="0.25">
      <c r="A31" s="331">
        <v>24000</v>
      </c>
      <c r="B31" s="327" t="s">
        <v>15</v>
      </c>
      <c r="C31" s="684">
        <v>2809.356825457915</v>
      </c>
      <c r="D31" s="669">
        <f t="shared" si="10"/>
        <v>4.0999702718440549E-2</v>
      </c>
      <c r="E31" s="684">
        <v>20595</v>
      </c>
      <c r="F31" s="685">
        <v>26705</v>
      </c>
      <c r="G31" s="685">
        <f t="shared" si="11"/>
        <v>47300</v>
      </c>
      <c r="H31" s="669">
        <f t="shared" si="12"/>
        <v>4.1321953051971311E-2</v>
      </c>
      <c r="I31" s="684">
        <v>1655.395601132203</v>
      </c>
      <c r="J31" s="669">
        <f t="shared" si="13"/>
        <v>4.8490149242938853E-2</v>
      </c>
      <c r="K31" s="755">
        <v>1134.5</v>
      </c>
      <c r="L31" s="670">
        <f t="shared" si="14"/>
        <v>4.9273599861017613E-2</v>
      </c>
      <c r="M31" s="684"/>
      <c r="N31" s="670">
        <v>4.7347214609015059E-2</v>
      </c>
      <c r="O31" s="684">
        <v>9620.3299999999981</v>
      </c>
      <c r="P31" s="669">
        <f t="shared" si="15"/>
        <v>3.5136428941329317E-2</v>
      </c>
      <c r="Q31" s="684"/>
      <c r="R31" s="669">
        <v>2.0294618567842308E-2</v>
      </c>
    </row>
    <row r="32" spans="1:24" x14ac:dyDescent="0.25">
      <c r="A32" s="331">
        <v>25000</v>
      </c>
      <c r="B32" s="327" t="s">
        <v>16</v>
      </c>
      <c r="C32" s="684">
        <v>3517.7554457629094</v>
      </c>
      <c r="D32" s="669">
        <f t="shared" si="10"/>
        <v>5.1338059375546266E-2</v>
      </c>
      <c r="E32" s="684">
        <v>22330</v>
      </c>
      <c r="F32" s="685">
        <v>22894</v>
      </c>
      <c r="G32" s="685">
        <f t="shared" si="11"/>
        <v>45224</v>
      </c>
      <c r="H32" s="669">
        <f t="shared" si="12"/>
        <v>3.9508329911677603E-2</v>
      </c>
      <c r="I32" s="684">
        <v>2009.9609590482701</v>
      </c>
      <c r="J32" s="669">
        <f t="shared" si="13"/>
        <v>5.8876142240604834E-2</v>
      </c>
      <c r="K32" s="755">
        <v>1225.5</v>
      </c>
      <c r="L32" s="670">
        <f t="shared" si="14"/>
        <v>5.322591152902343E-2</v>
      </c>
      <c r="M32" s="684"/>
      <c r="N32" s="670">
        <v>0.10037966665457469</v>
      </c>
      <c r="O32" s="684">
        <v>3600.0600000000004</v>
      </c>
      <c r="P32" s="669">
        <f t="shared" si="15"/>
        <v>1.3148535692073148E-2</v>
      </c>
      <c r="Q32" s="684"/>
      <c r="R32" s="669">
        <v>9.9454959573970943E-3</v>
      </c>
    </row>
    <row r="33" spans="1:22" x14ac:dyDescent="0.25">
      <c r="A33" s="331">
        <v>27000</v>
      </c>
      <c r="B33" s="327" t="s">
        <v>18</v>
      </c>
      <c r="C33" s="684">
        <v>6655.2605325473442</v>
      </c>
      <c r="D33" s="669">
        <f t="shared" si="10"/>
        <v>9.7126751886968177E-2</v>
      </c>
      <c r="E33" s="684">
        <v>23955</v>
      </c>
      <c r="F33" s="685">
        <v>61308</v>
      </c>
      <c r="G33" s="685">
        <f t="shared" si="11"/>
        <v>85263</v>
      </c>
      <c r="H33" s="669">
        <f t="shared" si="12"/>
        <v>7.4486970043768072E-2</v>
      </c>
      <c r="I33" s="684">
        <v>2713.628136285769</v>
      </c>
      <c r="J33" s="669">
        <f t="shared" si="13"/>
        <v>7.9488089269017209E-2</v>
      </c>
      <c r="K33" s="755">
        <v>1830.5</v>
      </c>
      <c r="L33" s="670">
        <f t="shared" si="14"/>
        <v>7.9502269321809371E-2</v>
      </c>
      <c r="M33" s="684"/>
      <c r="N33" s="670">
        <v>9.95401672701451E-2</v>
      </c>
      <c r="O33" s="684">
        <v>5162.1000000000004</v>
      </c>
      <c r="P33" s="669">
        <f t="shared" si="15"/>
        <v>1.8853590244621143E-2</v>
      </c>
      <c r="Q33" s="684"/>
      <c r="R33" s="669">
        <v>7.2354248555673642E-2</v>
      </c>
    </row>
    <row r="34" spans="1:22" x14ac:dyDescent="0.25">
      <c r="A34" s="331">
        <v>28000</v>
      </c>
      <c r="B34" s="327" t="s">
        <v>19</v>
      </c>
      <c r="C34" s="684">
        <v>4761.4723452685084</v>
      </c>
      <c r="D34" s="669">
        <f t="shared" si="10"/>
        <v>6.9488841320918635E-2</v>
      </c>
      <c r="E34" s="684">
        <v>26627</v>
      </c>
      <c r="F34" s="685">
        <v>29608</v>
      </c>
      <c r="G34" s="685">
        <f t="shared" si="11"/>
        <v>56235</v>
      </c>
      <c r="H34" s="669">
        <f t="shared" si="12"/>
        <v>4.9127696191915572E-2</v>
      </c>
      <c r="I34" s="684">
        <v>2614.5988348224719</v>
      </c>
      <c r="J34" s="669">
        <f t="shared" si="13"/>
        <v>7.658730494646919E-2</v>
      </c>
      <c r="K34" s="755">
        <v>1675.5</v>
      </c>
      <c r="L34" s="670">
        <f t="shared" si="14"/>
        <v>7.2770309887293966E-2</v>
      </c>
      <c r="M34" s="684"/>
      <c r="N34" s="670">
        <v>4.5538163002803625E-2</v>
      </c>
      <c r="O34" s="684">
        <v>39298.910000000003</v>
      </c>
      <c r="P34" s="669">
        <f t="shared" si="15"/>
        <v>0.14353180802391358</v>
      </c>
      <c r="Q34" s="684"/>
      <c r="R34" s="669">
        <v>2.9010909906599949E-2</v>
      </c>
    </row>
    <row r="35" spans="1:22" x14ac:dyDescent="0.25">
      <c r="A35" s="331">
        <v>31000</v>
      </c>
      <c r="B35" s="327" t="s">
        <v>20</v>
      </c>
      <c r="C35" s="684">
        <v>7481.7330402963617</v>
      </c>
      <c r="D35" s="669">
        <f t="shared" si="10"/>
        <v>0.10918827672269303</v>
      </c>
      <c r="E35" s="684">
        <v>124307</v>
      </c>
      <c r="F35" s="685">
        <v>112400</v>
      </c>
      <c r="G35" s="685">
        <f t="shared" si="11"/>
        <v>236707</v>
      </c>
      <c r="H35" s="669">
        <f t="shared" si="12"/>
        <v>0.20679060340534827</v>
      </c>
      <c r="I35" s="684">
        <v>2163.6166303247915</v>
      </c>
      <c r="J35" s="669">
        <f t="shared" si="13"/>
        <v>6.33770521301361E-2</v>
      </c>
      <c r="K35" s="755">
        <v>2382.5</v>
      </c>
      <c r="L35" s="670">
        <f t="shared" si="14"/>
        <v>0.10347673130795457</v>
      </c>
      <c r="M35" s="684"/>
      <c r="N35" s="670">
        <v>2.5788283078820008E-2</v>
      </c>
      <c r="O35" s="684">
        <v>1861.5</v>
      </c>
      <c r="P35" s="669">
        <f t="shared" si="15"/>
        <v>6.7987753511869701E-3</v>
      </c>
      <c r="Q35" s="684"/>
      <c r="R35" s="669">
        <v>0.2178615339769</v>
      </c>
    </row>
    <row r="36" spans="1:22" x14ac:dyDescent="0.25">
      <c r="A36" s="331">
        <v>41000</v>
      </c>
      <c r="B36" s="327" t="s">
        <v>21</v>
      </c>
      <c r="C36" s="684">
        <v>8429.052716008744</v>
      </c>
      <c r="D36" s="669">
        <f t="shared" si="10"/>
        <v>0.12301344294279624</v>
      </c>
      <c r="E36" s="684">
        <v>55042</v>
      </c>
      <c r="F36" s="685">
        <v>109539</v>
      </c>
      <c r="G36" s="685">
        <f t="shared" si="11"/>
        <v>164581</v>
      </c>
      <c r="H36" s="669">
        <f t="shared" si="12"/>
        <v>0.14378030349358331</v>
      </c>
      <c r="I36" s="684">
        <v>4175.3614163044249</v>
      </c>
      <c r="J36" s="669">
        <f t="shared" si="13"/>
        <v>0.12230544655388448</v>
      </c>
      <c r="K36" s="755">
        <v>3055.5</v>
      </c>
      <c r="L36" s="670">
        <f t="shared" si="14"/>
        <v>0.13270646485265694</v>
      </c>
      <c r="M36" s="684"/>
      <c r="N36" s="670">
        <v>0.10309640197358916</v>
      </c>
      <c r="O36" s="684">
        <v>3355.05</v>
      </c>
      <c r="P36" s="669">
        <f t="shared" si="15"/>
        <v>1.2253683181305316E-2</v>
      </c>
      <c r="Q36" s="684"/>
      <c r="R36" s="669">
        <v>0.34723021400238052</v>
      </c>
    </row>
    <row r="37" spans="1:22" ht="15.75" thickBot="1" x14ac:dyDescent="0.3">
      <c r="A37" s="332">
        <v>43000</v>
      </c>
      <c r="B37" s="329" t="s">
        <v>22</v>
      </c>
      <c r="C37" s="684">
        <v>5125.0427586535125</v>
      </c>
      <c r="D37" s="669">
        <f t="shared" si="10"/>
        <v>7.4794781360620094E-2</v>
      </c>
      <c r="E37" s="686">
        <v>30923</v>
      </c>
      <c r="F37" s="685">
        <v>56709</v>
      </c>
      <c r="G37" s="687">
        <f t="shared" si="11"/>
        <v>87632</v>
      </c>
      <c r="H37" s="675">
        <f t="shared" si="12"/>
        <v>7.6556562153284352E-2</v>
      </c>
      <c r="I37" s="684">
        <v>2749.479261059771</v>
      </c>
      <c r="J37" s="669">
        <f t="shared" si="13"/>
        <v>8.0538246941074323E-2</v>
      </c>
      <c r="K37" s="755">
        <v>1645.5</v>
      </c>
      <c r="L37" s="670">
        <f t="shared" si="14"/>
        <v>7.1467349996742605E-2</v>
      </c>
      <c r="M37" s="684"/>
      <c r="N37" s="670">
        <v>7.5767435719172577E-2</v>
      </c>
      <c r="O37" s="684">
        <v>15026.65</v>
      </c>
      <c r="P37" s="669">
        <f t="shared" si="15"/>
        <v>5.4881986371696848E-2</v>
      </c>
      <c r="Q37" s="684"/>
      <c r="R37" s="669">
        <v>6.333614247393915E-2</v>
      </c>
    </row>
    <row r="38" spans="1:22" ht="15.75" thickBot="1" x14ac:dyDescent="0.3">
      <c r="A38" s="502">
        <v>2024</v>
      </c>
      <c r="B38" s="333" t="s">
        <v>110</v>
      </c>
      <c r="C38" s="688">
        <f t="shared" ref="C38:L38" si="16">SUM(C23:C37)</f>
        <v>68521.395014758062</v>
      </c>
      <c r="D38" s="677">
        <f t="shared" si="16"/>
        <v>1</v>
      </c>
      <c r="E38" s="688">
        <f t="shared" si="16"/>
        <v>489261</v>
      </c>
      <c r="F38" s="689">
        <f t="shared" si="16"/>
        <v>655409</v>
      </c>
      <c r="G38" s="689">
        <f t="shared" si="16"/>
        <v>1144670</v>
      </c>
      <c r="H38" s="677">
        <f t="shared" si="16"/>
        <v>1</v>
      </c>
      <c r="I38" s="688">
        <f t="shared" si="16"/>
        <v>34138.801941783298</v>
      </c>
      <c r="J38" s="677">
        <f t="shared" si="16"/>
        <v>0.99999999999999989</v>
      </c>
      <c r="K38" s="688">
        <f t="shared" si="16"/>
        <v>23024.5</v>
      </c>
      <c r="L38" s="677">
        <f t="shared" si="16"/>
        <v>0.99999999999999989</v>
      </c>
      <c r="M38" s="688"/>
      <c r="N38" s="679">
        <f>SUM(N23:N37)</f>
        <v>1</v>
      </c>
      <c r="O38" s="688">
        <f>SUM(O23:O37)</f>
        <v>273799.31</v>
      </c>
      <c r="P38" s="677">
        <f>SUM(P23:P37)</f>
        <v>1.0000000000000002</v>
      </c>
      <c r="Q38" s="688">
        <f>SUM(Q23:Q37)</f>
        <v>0</v>
      </c>
      <c r="R38" s="677">
        <f>SUM(R23:R37)</f>
        <v>1</v>
      </c>
    </row>
    <row r="39" spans="1:22" ht="15.75" thickBot="1" x14ac:dyDescent="0.3">
      <c r="I39" s="756"/>
      <c r="J39" s="756"/>
    </row>
    <row r="40" spans="1:22" ht="15" customHeight="1" x14ac:dyDescent="0.25">
      <c r="A40" s="330">
        <v>12000</v>
      </c>
      <c r="B40" s="757" t="s">
        <v>5</v>
      </c>
      <c r="C40" s="11"/>
      <c r="D40" s="639"/>
      <c r="E40" s="682">
        <v>24096</v>
      </c>
      <c r="F40" s="683">
        <v>27821</v>
      </c>
      <c r="G40" s="683">
        <f>E40+F40</f>
        <v>51917</v>
      </c>
      <c r="H40" s="662">
        <f>G40/$G$55</f>
        <v>4.3574197078882916E-2</v>
      </c>
      <c r="I40" s="11"/>
      <c r="J40" s="639"/>
      <c r="K40" s="758">
        <v>1597</v>
      </c>
      <c r="L40" s="662">
        <f>K40/$K$55</f>
        <v>7.3870206762569959E-2</v>
      </c>
      <c r="M40" s="749"/>
      <c r="N40" s="639"/>
      <c r="O40" s="11"/>
      <c r="P40" s="639"/>
      <c r="Q40" s="11"/>
      <c r="R40" s="639"/>
      <c r="S40" s="682">
        <v>301187.45930000005</v>
      </c>
      <c r="T40" s="662">
        <f>S40/$S$55</f>
        <v>7.3915607959528645E-2</v>
      </c>
      <c r="U40" s="682">
        <v>101.64160256410258</v>
      </c>
      <c r="V40" s="662">
        <f>U40/$U$55</f>
        <v>9.7473124409745704E-2</v>
      </c>
    </row>
    <row r="41" spans="1:22" ht="15" customHeight="1" x14ac:dyDescent="0.25">
      <c r="A41" s="730">
        <v>13000</v>
      </c>
      <c r="B41" s="731" t="s">
        <v>6</v>
      </c>
      <c r="C41" s="749"/>
      <c r="D41" s="759"/>
      <c r="E41" s="684">
        <v>16328</v>
      </c>
      <c r="F41" s="685">
        <v>18259</v>
      </c>
      <c r="G41" s="685">
        <f t="shared" ref="G41:G54" si="17">E41+F41</f>
        <v>34587</v>
      </c>
      <c r="H41" s="732">
        <f t="shared" ref="H41:H54" si="18">G41/$G$55</f>
        <v>2.902904163120603E-2</v>
      </c>
      <c r="I41" s="11"/>
      <c r="J41" s="759"/>
      <c r="K41" s="760">
        <v>1219.5</v>
      </c>
      <c r="L41" s="732">
        <f t="shared" ref="L41:L54" si="19">K41/$K$55</f>
        <v>5.640871455663999E-2</v>
      </c>
      <c r="M41" s="749"/>
      <c r="N41" s="759"/>
      <c r="O41" s="11"/>
      <c r="P41" s="759"/>
      <c r="Q41" s="11"/>
      <c r="R41" s="759"/>
      <c r="S41" s="684">
        <v>70149</v>
      </c>
      <c r="T41" s="669">
        <f t="shared" ref="T41:T54" si="20">S41/$S$55</f>
        <v>1.721554408275781E-2</v>
      </c>
      <c r="U41" s="684">
        <v>35.869999999999997</v>
      </c>
      <c r="V41" s="669">
        <f t="shared" ref="V41:V54" si="21">U41/$U$55</f>
        <v>3.4398916234841127E-2</v>
      </c>
    </row>
    <row r="42" spans="1:22" ht="15" customHeight="1" x14ac:dyDescent="0.25">
      <c r="A42" s="331">
        <v>16000</v>
      </c>
      <c r="B42" s="327" t="s">
        <v>218</v>
      </c>
      <c r="C42" s="749"/>
      <c r="D42" s="639"/>
      <c r="E42" s="684">
        <v>1272</v>
      </c>
      <c r="F42" s="685">
        <v>7750</v>
      </c>
      <c r="G42" s="685">
        <f t="shared" si="17"/>
        <v>9022</v>
      </c>
      <c r="H42" s="669">
        <f t="shared" si="18"/>
        <v>7.5722096046705644E-3</v>
      </c>
      <c r="I42" s="11"/>
      <c r="J42" s="639"/>
      <c r="K42" s="761">
        <v>339.5</v>
      </c>
      <c r="L42" s="669">
        <f t="shared" si="19"/>
        <v>1.570377908321384E-2</v>
      </c>
      <c r="M42" s="749"/>
      <c r="N42" s="639"/>
      <c r="O42" s="11"/>
      <c r="P42" s="639"/>
      <c r="Q42" s="11"/>
      <c r="R42" s="639"/>
      <c r="S42" s="684">
        <v>45802.884669999992</v>
      </c>
      <c r="T42" s="669">
        <f t="shared" si="20"/>
        <v>1.124066743864997E-2</v>
      </c>
      <c r="U42" s="684">
        <v>25.22</v>
      </c>
      <c r="V42" s="669">
        <f t="shared" si="21"/>
        <v>2.4185689083989218E-2</v>
      </c>
    </row>
    <row r="43" spans="1:22" ht="15" customHeight="1" x14ac:dyDescent="0.25">
      <c r="A43" s="331">
        <v>17000</v>
      </c>
      <c r="B43" s="327" t="s">
        <v>9</v>
      </c>
      <c r="C43" s="749"/>
      <c r="D43" s="639"/>
      <c r="E43" s="684">
        <v>30356</v>
      </c>
      <c r="F43" s="685">
        <v>46760</v>
      </c>
      <c r="G43" s="685">
        <f t="shared" si="17"/>
        <v>77116</v>
      </c>
      <c r="H43" s="669">
        <f t="shared" si="18"/>
        <v>6.4723843479691331E-2</v>
      </c>
      <c r="I43" s="11"/>
      <c r="J43" s="639"/>
      <c r="K43" s="761">
        <v>1659.5</v>
      </c>
      <c r="L43" s="669">
        <f t="shared" si="19"/>
        <v>7.6761182293353075E-2</v>
      </c>
      <c r="M43" s="749"/>
      <c r="N43" s="639"/>
      <c r="O43" s="11"/>
      <c r="P43" s="639"/>
      <c r="Q43" s="11"/>
      <c r="R43" s="639"/>
      <c r="S43" s="684">
        <v>143775</v>
      </c>
      <c r="T43" s="669">
        <f t="shared" si="20"/>
        <v>3.5284392514483516E-2</v>
      </c>
      <c r="U43" s="684">
        <v>81.298000000000002</v>
      </c>
      <c r="V43" s="669">
        <f t="shared" si="21"/>
        <v>7.7963844216897532E-2</v>
      </c>
    </row>
    <row r="44" spans="1:22" ht="15" customHeight="1" x14ac:dyDescent="0.25">
      <c r="A44" s="331">
        <v>18000</v>
      </c>
      <c r="B44" s="327" t="s">
        <v>10</v>
      </c>
      <c r="C44" s="749"/>
      <c r="D44" s="639"/>
      <c r="E44" s="684">
        <v>57575</v>
      </c>
      <c r="F44" s="685">
        <v>57670</v>
      </c>
      <c r="G44" s="685">
        <f t="shared" si="17"/>
        <v>115245</v>
      </c>
      <c r="H44" s="669">
        <f t="shared" si="18"/>
        <v>9.6725703379545461E-2</v>
      </c>
      <c r="I44" s="11"/>
      <c r="J44" s="639"/>
      <c r="K44" s="761">
        <v>1166.5</v>
      </c>
      <c r="L44" s="669">
        <f t="shared" si="19"/>
        <v>5.3957167306535915E-2</v>
      </c>
      <c r="M44" s="749"/>
      <c r="N44" s="639"/>
      <c r="O44" s="11"/>
      <c r="P44" s="639"/>
      <c r="Q44" s="11"/>
      <c r="R44" s="639"/>
      <c r="S44" s="684">
        <v>269786.14850999997</v>
      </c>
      <c r="T44" s="669">
        <f t="shared" si="20"/>
        <v>6.6209287838619929E-2</v>
      </c>
      <c r="U44" s="684">
        <v>62.01100000000001</v>
      </c>
      <c r="V44" s="669">
        <f t="shared" si="21"/>
        <v>5.9467833694974458E-2</v>
      </c>
    </row>
    <row r="45" spans="1:22" ht="15" customHeight="1" x14ac:dyDescent="0.25">
      <c r="A45" s="331">
        <v>19000</v>
      </c>
      <c r="B45" s="327" t="s">
        <v>11</v>
      </c>
      <c r="C45" s="749"/>
      <c r="D45" s="639"/>
      <c r="E45" s="684">
        <v>8709</v>
      </c>
      <c r="F45" s="685">
        <v>6517</v>
      </c>
      <c r="G45" s="685">
        <f t="shared" si="17"/>
        <v>15226</v>
      </c>
      <c r="H45" s="669">
        <f t="shared" si="18"/>
        <v>1.2779257752240524E-2</v>
      </c>
      <c r="I45" s="11"/>
      <c r="J45" s="639"/>
      <c r="K45" s="761">
        <v>848</v>
      </c>
      <c r="L45" s="669">
        <f t="shared" si="19"/>
        <v>3.9224756001665202E-2</v>
      </c>
      <c r="M45" s="749"/>
      <c r="N45" s="639"/>
      <c r="O45" s="11"/>
      <c r="P45" s="639"/>
      <c r="Q45" s="11"/>
      <c r="R45" s="639"/>
      <c r="S45" s="684">
        <v>22820</v>
      </c>
      <c r="T45" s="669">
        <f t="shared" si="20"/>
        <v>5.6003466331456357E-3</v>
      </c>
      <c r="U45" s="684">
        <v>40.976000000000006</v>
      </c>
      <c r="V45" s="669">
        <f t="shared" si="21"/>
        <v>3.9295511336460844E-2</v>
      </c>
    </row>
    <row r="46" spans="1:22" ht="15" customHeight="1" x14ac:dyDescent="0.25">
      <c r="A46" s="331">
        <v>22000</v>
      </c>
      <c r="B46" s="327" t="s">
        <v>13</v>
      </c>
      <c r="C46" s="749"/>
      <c r="D46" s="639"/>
      <c r="E46" s="684">
        <v>19857</v>
      </c>
      <c r="F46" s="685">
        <v>42165</v>
      </c>
      <c r="G46" s="685">
        <f t="shared" si="17"/>
        <v>62022</v>
      </c>
      <c r="H46" s="669">
        <f t="shared" si="18"/>
        <v>5.2055373985909745E-2</v>
      </c>
      <c r="I46" s="11"/>
      <c r="J46" s="639"/>
      <c r="K46" s="761">
        <v>623.5</v>
      </c>
      <c r="L46" s="669">
        <f t="shared" si="19"/>
        <v>2.8840371895092282E-2</v>
      </c>
      <c r="M46" s="749"/>
      <c r="N46" s="639"/>
      <c r="O46" s="11"/>
      <c r="P46" s="639"/>
      <c r="Q46" s="11"/>
      <c r="R46" s="639"/>
      <c r="S46" s="684">
        <v>722627.5983500001</v>
      </c>
      <c r="T46" s="669">
        <f t="shared" si="20"/>
        <v>0.1773429026046249</v>
      </c>
      <c r="U46" s="684">
        <v>104.74</v>
      </c>
      <c r="V46" s="669">
        <f t="shared" si="21"/>
        <v>0.10044445181035015</v>
      </c>
    </row>
    <row r="47" spans="1:22" ht="15" customHeight="1" x14ac:dyDescent="0.25">
      <c r="A47" s="331">
        <v>23000</v>
      </c>
      <c r="B47" s="327" t="s">
        <v>14</v>
      </c>
      <c r="C47" s="749"/>
      <c r="D47" s="639"/>
      <c r="E47" s="684">
        <v>42340</v>
      </c>
      <c r="F47" s="685">
        <v>43916</v>
      </c>
      <c r="G47" s="685">
        <f t="shared" si="17"/>
        <v>86256</v>
      </c>
      <c r="H47" s="669">
        <f t="shared" si="18"/>
        <v>7.239509107298428E-2</v>
      </c>
      <c r="I47" s="11"/>
      <c r="J47" s="639"/>
      <c r="K47" s="761">
        <v>2001</v>
      </c>
      <c r="L47" s="669">
        <f t="shared" si="19"/>
        <v>9.2557472593551973E-2</v>
      </c>
      <c r="M47" s="749"/>
      <c r="N47" s="639"/>
      <c r="O47" s="11"/>
      <c r="P47" s="639"/>
      <c r="Q47" s="11"/>
      <c r="R47" s="639"/>
      <c r="S47" s="684">
        <v>414179</v>
      </c>
      <c r="T47" s="669">
        <f t="shared" si="20"/>
        <v>0.10164530973574173</v>
      </c>
      <c r="U47" s="684">
        <v>65.858999999999995</v>
      </c>
      <c r="V47" s="669">
        <f t="shared" si="21"/>
        <v>6.3158021307789289E-2</v>
      </c>
    </row>
    <row r="48" spans="1:22" ht="15" customHeight="1" x14ac:dyDescent="0.25">
      <c r="A48" s="331">
        <v>24000</v>
      </c>
      <c r="B48" s="327" t="s">
        <v>15</v>
      </c>
      <c r="C48" s="749"/>
      <c r="D48" s="639"/>
      <c r="E48" s="684">
        <v>22357</v>
      </c>
      <c r="F48" s="685">
        <v>27436</v>
      </c>
      <c r="G48" s="685">
        <f t="shared" si="17"/>
        <v>49793</v>
      </c>
      <c r="H48" s="669">
        <f t="shared" si="18"/>
        <v>4.1791513283680047E-2</v>
      </c>
      <c r="I48" s="11"/>
      <c r="J48" s="639"/>
      <c r="K48" s="761">
        <v>954</v>
      </c>
      <c r="L48" s="669">
        <f t="shared" si="19"/>
        <v>4.4127850501873352E-2</v>
      </c>
      <c r="M48" s="749"/>
      <c r="N48" s="639"/>
      <c r="O48" s="11"/>
      <c r="P48" s="639"/>
      <c r="Q48" s="11"/>
      <c r="R48" s="639"/>
      <c r="S48" s="684">
        <v>194833.08747000009</v>
      </c>
      <c r="T48" s="669">
        <f t="shared" si="20"/>
        <v>4.7814760098071174E-2</v>
      </c>
      <c r="U48" s="684">
        <v>53.434807692307686</v>
      </c>
      <c r="V48" s="669">
        <f t="shared" si="21"/>
        <v>5.1243364199401634E-2</v>
      </c>
    </row>
    <row r="49" spans="1:22" ht="15" customHeight="1" x14ac:dyDescent="0.25">
      <c r="A49" s="331">
        <v>25000</v>
      </c>
      <c r="B49" s="327" t="s">
        <v>16</v>
      </c>
      <c r="C49" s="749"/>
      <c r="D49" s="639"/>
      <c r="E49" s="684">
        <v>16159</v>
      </c>
      <c r="F49" s="685">
        <v>27221</v>
      </c>
      <c r="G49" s="685">
        <f t="shared" si="17"/>
        <v>43380</v>
      </c>
      <c r="H49" s="669">
        <f t="shared" si="18"/>
        <v>3.6409050393550108E-2</v>
      </c>
      <c r="I49" s="11"/>
      <c r="J49" s="639"/>
      <c r="K49" s="761">
        <v>1123.5</v>
      </c>
      <c r="L49" s="669">
        <f t="shared" si="19"/>
        <v>5.1968176141357139E-2</v>
      </c>
      <c r="M49" s="749"/>
      <c r="N49" s="639"/>
      <c r="O49" s="11"/>
      <c r="P49" s="639"/>
      <c r="Q49" s="11"/>
      <c r="R49" s="639"/>
      <c r="S49" s="684">
        <v>207306.63657</v>
      </c>
      <c r="T49" s="669">
        <f t="shared" si="20"/>
        <v>5.0875943214002871E-2</v>
      </c>
      <c r="U49" s="684">
        <v>40.489999999999995</v>
      </c>
      <c r="V49" s="669">
        <f t="shared" si="21"/>
        <v>3.8829442942534632E-2</v>
      </c>
    </row>
    <row r="50" spans="1:22" ht="15" customHeight="1" x14ac:dyDescent="0.25">
      <c r="A50" s="331">
        <v>27000</v>
      </c>
      <c r="B50" s="327" t="s">
        <v>18</v>
      </c>
      <c r="C50" s="749"/>
      <c r="D50" s="639"/>
      <c r="E50" s="684">
        <v>23516</v>
      </c>
      <c r="F50" s="685">
        <v>56962</v>
      </c>
      <c r="G50" s="685">
        <f t="shared" si="17"/>
        <v>80478</v>
      </c>
      <c r="H50" s="669">
        <f t="shared" si="18"/>
        <v>6.7545586850440889E-2</v>
      </c>
      <c r="I50" s="11"/>
      <c r="J50" s="639"/>
      <c r="K50" s="761">
        <v>1740</v>
      </c>
      <c r="L50" s="669">
        <f t="shared" si="19"/>
        <v>8.0484758777001716E-2</v>
      </c>
      <c r="M50" s="749"/>
      <c r="N50" s="639"/>
      <c r="O50" s="11"/>
      <c r="P50" s="639"/>
      <c r="Q50" s="11"/>
      <c r="R50" s="639"/>
      <c r="S50" s="684">
        <v>737678</v>
      </c>
      <c r="T50" s="669">
        <f t="shared" si="20"/>
        <v>0.18103648131663483</v>
      </c>
      <c r="U50" s="684">
        <v>80.03</v>
      </c>
      <c r="V50" s="669">
        <f t="shared" si="21"/>
        <v>7.674784684344399E-2</v>
      </c>
    </row>
    <row r="51" spans="1:22" ht="15" customHeight="1" x14ac:dyDescent="0.25">
      <c r="A51" s="331">
        <v>28000</v>
      </c>
      <c r="B51" s="327" t="s">
        <v>19</v>
      </c>
      <c r="C51" s="749"/>
      <c r="D51" s="639"/>
      <c r="E51" s="684">
        <v>32558</v>
      </c>
      <c r="F51" s="685">
        <v>32826</v>
      </c>
      <c r="G51" s="685">
        <f t="shared" si="17"/>
        <v>65384</v>
      </c>
      <c r="H51" s="669">
        <f t="shared" si="18"/>
        <v>5.4877117356659295E-2</v>
      </c>
      <c r="I51" s="11"/>
      <c r="J51" s="639"/>
      <c r="K51" s="761">
        <v>1520.5</v>
      </c>
      <c r="L51" s="669">
        <f t="shared" si="19"/>
        <v>7.0331652712891435E-2</v>
      </c>
      <c r="M51" s="749"/>
      <c r="N51" s="639"/>
      <c r="O51" s="11"/>
      <c r="P51" s="639"/>
      <c r="Q51" s="11"/>
      <c r="R51" s="639"/>
      <c r="S51" s="684">
        <v>144453</v>
      </c>
      <c r="T51" s="669">
        <f t="shared" si="20"/>
        <v>3.5450783181322811E-2</v>
      </c>
      <c r="U51" s="684">
        <v>79.634</v>
      </c>
      <c r="V51" s="669">
        <f t="shared" si="21"/>
        <v>7.6368087411355964E-2</v>
      </c>
    </row>
    <row r="52" spans="1:22" ht="15" customHeight="1" x14ac:dyDescent="0.25">
      <c r="A52" s="331">
        <v>31000</v>
      </c>
      <c r="B52" s="327" t="s">
        <v>20</v>
      </c>
      <c r="C52" s="749"/>
      <c r="D52" s="639"/>
      <c r="E52" s="684">
        <v>124860</v>
      </c>
      <c r="F52" s="685">
        <v>114811</v>
      </c>
      <c r="G52" s="685">
        <f t="shared" si="17"/>
        <v>239671</v>
      </c>
      <c r="H52" s="669">
        <f t="shared" si="18"/>
        <v>0.20115706585690521</v>
      </c>
      <c r="I52" s="11"/>
      <c r="J52" s="639"/>
      <c r="K52" s="761">
        <v>2297</v>
      </c>
      <c r="L52" s="669">
        <f t="shared" si="19"/>
        <v>0.10624913270734077</v>
      </c>
      <c r="M52" s="749"/>
      <c r="N52" s="639"/>
      <c r="O52" s="11"/>
      <c r="P52" s="639"/>
      <c r="Q52" s="11"/>
      <c r="R52" s="639"/>
      <c r="S52" s="684">
        <v>111590.76323000001</v>
      </c>
      <c r="T52" s="669">
        <f t="shared" si="20"/>
        <v>2.7385931426173637E-2</v>
      </c>
      <c r="U52" s="684">
        <v>51.852000000000004</v>
      </c>
      <c r="V52" s="669">
        <f t="shared" si="21"/>
        <v>4.9725469880373081E-2</v>
      </c>
    </row>
    <row r="53" spans="1:22" ht="15" customHeight="1" x14ac:dyDescent="0.25">
      <c r="A53" s="331">
        <v>41000</v>
      </c>
      <c r="B53" s="327" t="s">
        <v>21</v>
      </c>
      <c r="C53" s="749"/>
      <c r="D53" s="639"/>
      <c r="E53" s="684">
        <v>54725</v>
      </c>
      <c r="F53" s="685">
        <v>117032</v>
      </c>
      <c r="G53" s="685">
        <f t="shared" si="17"/>
        <v>171757</v>
      </c>
      <c r="H53" s="669">
        <f t="shared" si="18"/>
        <v>0.14415650687978299</v>
      </c>
      <c r="I53" s="11"/>
      <c r="J53" s="639"/>
      <c r="K53" s="761">
        <v>3122</v>
      </c>
      <c r="L53" s="669">
        <f t="shared" si="19"/>
        <v>0.14441000971367779</v>
      </c>
      <c r="M53" s="749"/>
      <c r="N53" s="639"/>
      <c r="O53" s="11"/>
      <c r="P53" s="639"/>
      <c r="Q53" s="11"/>
      <c r="R53" s="639"/>
      <c r="S53" s="684">
        <v>493202</v>
      </c>
      <c r="T53" s="669">
        <f t="shared" si="20"/>
        <v>0.12103865732518379</v>
      </c>
      <c r="U53" s="684">
        <v>141.29</v>
      </c>
      <c r="V53" s="669">
        <f t="shared" si="21"/>
        <v>0.135495480201302</v>
      </c>
    </row>
    <row r="54" spans="1:22" ht="15" customHeight="1" thickBot="1" x14ac:dyDescent="0.3">
      <c r="A54" s="332">
        <v>43000</v>
      </c>
      <c r="B54" s="329" t="s">
        <v>22</v>
      </c>
      <c r="C54" s="749"/>
      <c r="D54" s="639"/>
      <c r="E54" s="686">
        <v>33010</v>
      </c>
      <c r="F54" s="685">
        <v>56598</v>
      </c>
      <c r="G54" s="687">
        <f t="shared" si="17"/>
        <v>89608</v>
      </c>
      <c r="H54" s="675">
        <f t="shared" si="18"/>
        <v>7.5208441393850578E-2</v>
      </c>
      <c r="I54" s="11"/>
      <c r="J54" s="639"/>
      <c r="K54" s="762">
        <v>1407.5</v>
      </c>
      <c r="L54" s="675">
        <f t="shared" si="19"/>
        <v>6.5104768953235581E-2</v>
      </c>
      <c r="M54" s="749"/>
      <c r="N54" s="639"/>
      <c r="O54" s="11"/>
      <c r="P54" s="639"/>
      <c r="Q54" s="11"/>
      <c r="R54" s="639"/>
      <c r="S54" s="684">
        <v>195357.2</v>
      </c>
      <c r="T54" s="669">
        <f t="shared" si="20"/>
        <v>4.7943384631058662E-2</v>
      </c>
      <c r="U54" s="684">
        <v>78.418999999999997</v>
      </c>
      <c r="V54" s="669">
        <f t="shared" si="21"/>
        <v>7.5202916426540464E-2</v>
      </c>
    </row>
    <row r="55" spans="1:22" ht="15" customHeight="1" thickBot="1" x14ac:dyDescent="0.3">
      <c r="A55" s="502">
        <v>2023</v>
      </c>
      <c r="B55" s="763" t="s">
        <v>110</v>
      </c>
      <c r="C55" s="586"/>
      <c r="D55" s="640"/>
      <c r="E55" s="688">
        <f t="shared" ref="E55:H55" si="22">SUM(E40:E54)</f>
        <v>507718</v>
      </c>
      <c r="F55" s="689">
        <f t="shared" si="22"/>
        <v>683744</v>
      </c>
      <c r="G55" s="689">
        <f t="shared" si="22"/>
        <v>1191462</v>
      </c>
      <c r="H55" s="677">
        <f t="shared" si="22"/>
        <v>1</v>
      </c>
      <c r="I55" s="586"/>
      <c r="J55" s="640"/>
      <c r="K55" s="688">
        <f t="shared" ref="K55:L55" si="23">SUM(K40:K54)</f>
        <v>21619</v>
      </c>
      <c r="L55" s="677">
        <f t="shared" si="23"/>
        <v>1</v>
      </c>
      <c r="M55" s="586"/>
      <c r="N55" s="640"/>
      <c r="O55" s="586"/>
      <c r="P55" s="640"/>
      <c r="Q55" s="586"/>
      <c r="R55" s="640"/>
      <c r="S55" s="688">
        <f>SUM(S40:S54)</f>
        <v>4074747.7781000007</v>
      </c>
      <c r="T55" s="677">
        <f>SUM(T40:T54)</f>
        <v>0.99999999999999989</v>
      </c>
      <c r="U55" s="688">
        <f>SUM(U40:U54)</f>
        <v>1042.7654102564102</v>
      </c>
      <c r="V55" s="677">
        <f>SUM(V40:V54)</f>
        <v>1</v>
      </c>
    </row>
    <row r="56" spans="1:22" ht="15" customHeight="1" thickBot="1" x14ac:dyDescent="0.3"/>
    <row r="57" spans="1:22" ht="15" customHeight="1" x14ac:dyDescent="0.25">
      <c r="A57" s="330">
        <v>12000</v>
      </c>
      <c r="B57" s="326" t="s">
        <v>5</v>
      </c>
      <c r="C57" s="586"/>
      <c r="D57" s="640"/>
      <c r="E57" s="682">
        <v>22027</v>
      </c>
      <c r="F57" s="683">
        <v>29896</v>
      </c>
      <c r="G57" s="683">
        <f>E57+F57</f>
        <v>51923</v>
      </c>
      <c r="H57" s="662">
        <f>G57/$G$72</f>
        <v>4.5930291187590337E-2</v>
      </c>
      <c r="I57" s="586"/>
      <c r="J57" s="640"/>
      <c r="K57" s="758">
        <v>1498</v>
      </c>
      <c r="L57" s="662">
        <f>K57/$K$72</f>
        <v>7.4922476743022909E-2</v>
      </c>
      <c r="M57" s="586"/>
      <c r="N57" s="640"/>
      <c r="O57" s="586"/>
      <c r="P57" s="640"/>
      <c r="Q57" s="586"/>
      <c r="R57" s="640"/>
      <c r="S57" s="682">
        <v>311304.76811</v>
      </c>
      <c r="T57" s="662">
        <f>S57/$S$72</f>
        <v>8.6952459957790426E-2</v>
      </c>
      <c r="U57" s="682">
        <v>100.0925</v>
      </c>
      <c r="V57" s="662">
        <f>U57/$U$72</f>
        <v>9.5413408933445534E-2</v>
      </c>
    </row>
    <row r="58" spans="1:22" ht="15" customHeight="1" x14ac:dyDescent="0.25">
      <c r="A58" s="331">
        <v>13000</v>
      </c>
      <c r="B58" s="327" t="s">
        <v>6</v>
      </c>
      <c r="E58" s="684">
        <v>13529</v>
      </c>
      <c r="F58" s="685">
        <v>15476</v>
      </c>
      <c r="G58" s="685">
        <f t="shared" ref="G58:G71" si="24">E58+F58</f>
        <v>29005</v>
      </c>
      <c r="H58" s="669">
        <f t="shared" ref="H58:H71" si="25">G58/$G$72</f>
        <v>2.5657379117078324E-2</v>
      </c>
      <c r="K58" s="760">
        <v>1078</v>
      </c>
      <c r="L58" s="732">
        <f t="shared" ref="L58:L71" si="26">K58/$K$72</f>
        <v>5.3916174852455735E-2</v>
      </c>
      <c r="O58" s="11"/>
      <c r="P58" s="714"/>
      <c r="S58" s="684">
        <v>66874</v>
      </c>
      <c r="T58" s="669">
        <f t="shared" ref="T58:T71" si="27">S58/$S$72</f>
        <v>1.8678990503488171E-2</v>
      </c>
      <c r="U58" s="684">
        <v>35.82</v>
      </c>
      <c r="V58" s="669">
        <f t="shared" ref="V58:V71" si="28">U58/$U$72</f>
        <v>3.4145498493853378E-2</v>
      </c>
    </row>
    <row r="59" spans="1:22" ht="15" customHeight="1" x14ac:dyDescent="0.25">
      <c r="A59" s="331">
        <v>16000</v>
      </c>
      <c r="B59" s="327" t="s">
        <v>218</v>
      </c>
      <c r="E59" s="684">
        <v>458</v>
      </c>
      <c r="F59" s="685">
        <v>9827</v>
      </c>
      <c r="G59" s="685">
        <f t="shared" si="24"/>
        <v>10285</v>
      </c>
      <c r="H59" s="669">
        <f t="shared" si="25"/>
        <v>9.0979536017635077E-3</v>
      </c>
      <c r="K59" s="761">
        <v>313</v>
      </c>
      <c r="L59" s="669">
        <f t="shared" si="26"/>
        <v>1.5654696408922676E-2</v>
      </c>
      <c r="P59" s="714"/>
      <c r="S59" s="684">
        <v>43307.241489999993</v>
      </c>
      <c r="T59" s="669">
        <f t="shared" si="27"/>
        <v>1.2096413442054891E-2</v>
      </c>
      <c r="U59" s="684">
        <v>25.268000000000004</v>
      </c>
      <c r="V59" s="669">
        <f t="shared" si="28"/>
        <v>2.4086779897897467E-2</v>
      </c>
    </row>
    <row r="60" spans="1:22" ht="15" customHeight="1" x14ac:dyDescent="0.25">
      <c r="A60" s="331">
        <v>17000</v>
      </c>
      <c r="B60" s="327" t="s">
        <v>9</v>
      </c>
      <c r="E60" s="684">
        <v>24107</v>
      </c>
      <c r="F60" s="685">
        <v>50199</v>
      </c>
      <c r="G60" s="685">
        <f t="shared" si="24"/>
        <v>74306</v>
      </c>
      <c r="H60" s="669">
        <f t="shared" si="25"/>
        <v>6.5729950445565316E-2</v>
      </c>
      <c r="K60" s="761">
        <v>1463.5</v>
      </c>
      <c r="L60" s="669">
        <f t="shared" si="26"/>
        <v>7.3196959087726318E-2</v>
      </c>
      <c r="P60" s="714"/>
      <c r="S60" s="684">
        <v>128552</v>
      </c>
      <c r="T60" s="669">
        <f t="shared" si="27"/>
        <v>3.5906654113772342E-2</v>
      </c>
      <c r="U60" s="684">
        <v>90.566000000000003</v>
      </c>
      <c r="V60" s="669">
        <f t="shared" si="28"/>
        <v>8.6332250602856639E-2</v>
      </c>
    </row>
    <row r="61" spans="1:22" ht="15" customHeight="1" x14ac:dyDescent="0.25">
      <c r="A61" s="331">
        <v>18000</v>
      </c>
      <c r="B61" s="327" t="s">
        <v>10</v>
      </c>
      <c r="E61" s="684">
        <v>28206</v>
      </c>
      <c r="F61" s="685">
        <v>56632</v>
      </c>
      <c r="G61" s="685">
        <f t="shared" si="24"/>
        <v>84838</v>
      </c>
      <c r="H61" s="669">
        <f t="shared" si="25"/>
        <v>7.5046396467322557E-2</v>
      </c>
      <c r="K61" s="761">
        <v>1079.5</v>
      </c>
      <c r="L61" s="669">
        <f t="shared" si="26"/>
        <v>5.3991197359207765E-2</v>
      </c>
      <c r="P61" s="714"/>
      <c r="S61" s="684">
        <v>112884</v>
      </c>
      <c r="T61" s="669">
        <f t="shared" si="27"/>
        <v>3.1530328139422775E-2</v>
      </c>
      <c r="U61" s="684">
        <v>62.036183333333312</v>
      </c>
      <c r="V61" s="669">
        <f t="shared" si="28"/>
        <v>5.9136136364398226E-2</v>
      </c>
    </row>
    <row r="62" spans="1:22" ht="15" customHeight="1" x14ac:dyDescent="0.25">
      <c r="A62" s="331">
        <v>19000</v>
      </c>
      <c r="B62" s="327" t="s">
        <v>11</v>
      </c>
      <c r="E62" s="684">
        <v>12193</v>
      </c>
      <c r="F62" s="685">
        <v>3827</v>
      </c>
      <c r="G62" s="685">
        <f t="shared" si="24"/>
        <v>16020</v>
      </c>
      <c r="H62" s="669">
        <f t="shared" si="25"/>
        <v>1.4171046835221333E-2</v>
      </c>
      <c r="K62" s="761">
        <v>711</v>
      </c>
      <c r="L62" s="669">
        <f t="shared" si="26"/>
        <v>3.5560668200460138E-2</v>
      </c>
      <c r="P62" s="714"/>
      <c r="S62" s="684">
        <v>17899</v>
      </c>
      <c r="T62" s="669">
        <f t="shared" si="27"/>
        <v>4.9994803813430445E-3</v>
      </c>
      <c r="U62" s="684">
        <v>38.528999999999996</v>
      </c>
      <c r="V62" s="669">
        <f t="shared" si="28"/>
        <v>3.6727859058338259E-2</v>
      </c>
    </row>
    <row r="63" spans="1:22" ht="15" customHeight="1" x14ac:dyDescent="0.25">
      <c r="A63" s="331">
        <v>22000</v>
      </c>
      <c r="B63" s="327" t="s">
        <v>13</v>
      </c>
      <c r="E63" s="684">
        <v>18212</v>
      </c>
      <c r="F63" s="685">
        <v>45581</v>
      </c>
      <c r="G63" s="685">
        <f t="shared" si="24"/>
        <v>63793</v>
      </c>
      <c r="H63" s="669">
        <f t="shared" si="25"/>
        <v>5.6430311533038353E-2</v>
      </c>
      <c r="K63" s="761">
        <v>652</v>
      </c>
      <c r="L63" s="669">
        <f t="shared" si="26"/>
        <v>3.2609782934880462E-2</v>
      </c>
      <c r="P63" s="714"/>
      <c r="S63" s="684">
        <v>690763.47490000003</v>
      </c>
      <c r="T63" s="669">
        <f t="shared" si="27"/>
        <v>0.19294141800720147</v>
      </c>
      <c r="U63" s="684">
        <v>104.75</v>
      </c>
      <c r="V63" s="669">
        <f t="shared" si="28"/>
        <v>9.98531816647443E-2</v>
      </c>
    </row>
    <row r="64" spans="1:22" ht="15" customHeight="1" x14ac:dyDescent="0.25">
      <c r="A64" s="331">
        <v>23000</v>
      </c>
      <c r="B64" s="327" t="s">
        <v>14</v>
      </c>
      <c r="E64" s="684">
        <v>36726</v>
      </c>
      <c r="F64" s="685">
        <v>46216</v>
      </c>
      <c r="G64" s="685">
        <f t="shared" si="24"/>
        <v>82942</v>
      </c>
      <c r="H64" s="669">
        <f t="shared" si="25"/>
        <v>7.3369223883079135E-2</v>
      </c>
      <c r="K64" s="761">
        <v>1906</v>
      </c>
      <c r="L64" s="669">
        <f t="shared" si="26"/>
        <v>9.5328598579573876E-2</v>
      </c>
      <c r="P64" s="714"/>
      <c r="S64" s="684">
        <v>261078</v>
      </c>
      <c r="T64" s="669">
        <f t="shared" si="27"/>
        <v>7.2923310743632577E-2</v>
      </c>
      <c r="U64" s="684">
        <v>63.185999999999993</v>
      </c>
      <c r="V64" s="669">
        <f t="shared" si="28"/>
        <v>6.0232201782038503E-2</v>
      </c>
    </row>
    <row r="65" spans="1:22" ht="15" customHeight="1" x14ac:dyDescent="0.25">
      <c r="A65" s="331">
        <v>24000</v>
      </c>
      <c r="B65" s="327" t="s">
        <v>15</v>
      </c>
      <c r="E65" s="684">
        <v>16578</v>
      </c>
      <c r="F65" s="685">
        <v>26767</v>
      </c>
      <c r="G65" s="685">
        <f t="shared" si="24"/>
        <v>43345</v>
      </c>
      <c r="H65" s="669">
        <f t="shared" si="25"/>
        <v>3.8342323662463706E-2</v>
      </c>
      <c r="K65" s="761">
        <v>858.5</v>
      </c>
      <c r="L65" s="669">
        <f t="shared" si="26"/>
        <v>4.2937881364409319E-2</v>
      </c>
      <c r="P65" s="714"/>
      <c r="S65" s="684">
        <v>227922.41873999994</v>
      </c>
      <c r="T65" s="669">
        <f t="shared" si="27"/>
        <v>6.3662420300513098E-2</v>
      </c>
      <c r="U65" s="684">
        <v>65.81</v>
      </c>
      <c r="V65" s="669">
        <f t="shared" si="28"/>
        <v>6.2733535898394491E-2</v>
      </c>
    </row>
    <row r="66" spans="1:22" ht="15" customHeight="1" x14ac:dyDescent="0.25">
      <c r="A66" s="331">
        <v>25000</v>
      </c>
      <c r="B66" s="327" t="s">
        <v>16</v>
      </c>
      <c r="E66" s="684">
        <v>13518</v>
      </c>
      <c r="F66" s="685">
        <v>25940</v>
      </c>
      <c r="G66" s="685">
        <f t="shared" si="24"/>
        <v>39458</v>
      </c>
      <c r="H66" s="669">
        <f t="shared" si="25"/>
        <v>3.4903942947825423E-2</v>
      </c>
      <c r="K66" s="761">
        <v>1030.5</v>
      </c>
      <c r="L66" s="669">
        <f t="shared" si="26"/>
        <v>5.1540462138641593E-2</v>
      </c>
      <c r="P66" s="714"/>
      <c r="S66" s="684">
        <v>150709.25565999994</v>
      </c>
      <c r="T66" s="669">
        <f t="shared" si="27"/>
        <v>4.2095534217497232E-2</v>
      </c>
      <c r="U66" s="684">
        <v>51.42</v>
      </c>
      <c r="V66" s="669">
        <f t="shared" si="28"/>
        <v>4.9016234856335585E-2</v>
      </c>
    </row>
    <row r="67" spans="1:22" ht="15" customHeight="1" x14ac:dyDescent="0.25">
      <c r="A67" s="331">
        <v>27000</v>
      </c>
      <c r="B67" s="327" t="s">
        <v>18</v>
      </c>
      <c r="E67" s="684">
        <v>18360</v>
      </c>
      <c r="F67" s="685">
        <v>76451</v>
      </c>
      <c r="G67" s="685">
        <f t="shared" si="24"/>
        <v>94811</v>
      </c>
      <c r="H67" s="669">
        <f t="shared" si="25"/>
        <v>8.3868359643830812E-2</v>
      </c>
      <c r="K67" s="761">
        <v>1727</v>
      </c>
      <c r="L67" s="669">
        <f t="shared" si="26"/>
        <v>8.637591277383215E-2</v>
      </c>
      <c r="P67" s="714"/>
      <c r="S67" s="684">
        <v>693448</v>
      </c>
      <c r="T67" s="669">
        <f t="shared" si="27"/>
        <v>0.19369124931457465</v>
      </c>
      <c r="U67" s="684">
        <v>70.038000000000011</v>
      </c>
      <c r="V67" s="669">
        <f t="shared" si="28"/>
        <v>6.6763886753559543E-2</v>
      </c>
    </row>
    <row r="68" spans="1:22" ht="15" customHeight="1" x14ac:dyDescent="0.25">
      <c r="A68" s="331">
        <v>28000</v>
      </c>
      <c r="B68" s="327" t="s">
        <v>19</v>
      </c>
      <c r="E68" s="684">
        <v>22405</v>
      </c>
      <c r="F68" s="685">
        <v>30577</v>
      </c>
      <c r="G68" s="685">
        <f t="shared" si="24"/>
        <v>52982</v>
      </c>
      <c r="H68" s="669">
        <f t="shared" si="25"/>
        <v>4.6867066381004782E-2</v>
      </c>
      <c r="K68" s="761">
        <v>1498</v>
      </c>
      <c r="L68" s="669">
        <f t="shared" si="26"/>
        <v>7.4922476743022909E-2</v>
      </c>
      <c r="P68" s="714"/>
      <c r="S68" s="684">
        <v>125578</v>
      </c>
      <c r="T68" s="669">
        <f t="shared" si="27"/>
        <v>3.507596778190384E-2</v>
      </c>
      <c r="U68" s="684">
        <v>77.004000000000005</v>
      </c>
      <c r="V68" s="669">
        <f t="shared" si="28"/>
        <v>7.3404242490806404E-2</v>
      </c>
    </row>
    <row r="69" spans="1:22" ht="15" customHeight="1" x14ac:dyDescent="0.25">
      <c r="A69" s="331">
        <v>31000</v>
      </c>
      <c r="B69" s="327" t="s">
        <v>20</v>
      </c>
      <c r="E69" s="684">
        <v>122377</v>
      </c>
      <c r="F69" s="685">
        <v>108638</v>
      </c>
      <c r="G69" s="685">
        <f t="shared" si="24"/>
        <v>231015</v>
      </c>
      <c r="H69" s="669">
        <f t="shared" si="25"/>
        <v>0.20435233362288738</v>
      </c>
      <c r="K69" s="761">
        <v>2184.5</v>
      </c>
      <c r="L69" s="669">
        <f t="shared" si="26"/>
        <v>0.10925777733319995</v>
      </c>
      <c r="P69" s="714"/>
      <c r="S69" s="684">
        <v>108147.61994</v>
      </c>
      <c r="T69" s="669">
        <f t="shared" si="27"/>
        <v>3.0207380534050723E-2</v>
      </c>
      <c r="U69" s="684">
        <v>47.175499999999992</v>
      </c>
      <c r="V69" s="669">
        <f t="shared" si="28"/>
        <v>4.4970155337710205E-2</v>
      </c>
    </row>
    <row r="70" spans="1:22" ht="15" customHeight="1" x14ac:dyDescent="0.25">
      <c r="A70" s="331">
        <v>41000</v>
      </c>
      <c r="B70" s="327" t="s">
        <v>21</v>
      </c>
      <c r="E70" s="684">
        <v>55378</v>
      </c>
      <c r="F70" s="685">
        <v>112150</v>
      </c>
      <c r="G70" s="685">
        <f t="shared" si="24"/>
        <v>167528</v>
      </c>
      <c r="H70" s="669">
        <f t="shared" si="25"/>
        <v>0.1481927050069263</v>
      </c>
      <c r="K70" s="761">
        <v>2640</v>
      </c>
      <c r="L70" s="669">
        <f t="shared" si="26"/>
        <v>0.13203961188356508</v>
      </c>
      <c r="P70" s="714"/>
      <c r="S70" s="684">
        <v>420782</v>
      </c>
      <c r="T70" s="669">
        <f t="shared" si="27"/>
        <v>0.11753122262820767</v>
      </c>
      <c r="U70" s="684">
        <v>152.93100000000001</v>
      </c>
      <c r="V70" s="669">
        <f t="shared" si="28"/>
        <v>0.14578183222120297</v>
      </c>
    </row>
    <row r="71" spans="1:22" ht="15" customHeight="1" thickBot="1" x14ac:dyDescent="0.3">
      <c r="A71" s="332">
        <v>43000</v>
      </c>
      <c r="B71" s="329" t="s">
        <v>22</v>
      </c>
      <c r="E71" s="686">
        <v>27288</v>
      </c>
      <c r="F71" s="685">
        <v>60935</v>
      </c>
      <c r="G71" s="687">
        <f t="shared" si="24"/>
        <v>88223</v>
      </c>
      <c r="H71" s="675">
        <f t="shared" si="25"/>
        <v>7.8040715664402724E-2</v>
      </c>
      <c r="K71" s="762">
        <v>1354.5</v>
      </c>
      <c r="L71" s="675">
        <f t="shared" si="26"/>
        <v>6.7745323597079118E-2</v>
      </c>
      <c r="P71" s="714"/>
      <c r="S71" s="684">
        <v>220922.28599999999</v>
      </c>
      <c r="T71" s="669">
        <f t="shared" si="27"/>
        <v>6.1707169934547022E-2</v>
      </c>
      <c r="U71" s="684">
        <v>64.414000000000001</v>
      </c>
      <c r="V71" s="669">
        <f t="shared" si="28"/>
        <v>6.1402795644418522E-2</v>
      </c>
    </row>
    <row r="72" spans="1:22" ht="15" customHeight="1" thickBot="1" x14ac:dyDescent="0.3">
      <c r="A72" s="502">
        <v>2022</v>
      </c>
      <c r="B72" s="333" t="s">
        <v>110</v>
      </c>
      <c r="E72" s="688">
        <f t="shared" ref="E72:H72" si="29">SUM(E57:E71)</f>
        <v>431362</v>
      </c>
      <c r="F72" s="689">
        <f t="shared" si="29"/>
        <v>699112</v>
      </c>
      <c r="G72" s="689">
        <f t="shared" si="29"/>
        <v>1130474</v>
      </c>
      <c r="H72" s="677">
        <f t="shared" si="29"/>
        <v>1</v>
      </c>
      <c r="K72" s="688">
        <f t="shared" ref="K72:L72" si="30">SUM(K57:K71)</f>
        <v>19994</v>
      </c>
      <c r="L72" s="677">
        <f t="shared" si="30"/>
        <v>1</v>
      </c>
      <c r="P72" s="714"/>
      <c r="S72" s="688">
        <f>SUM(S57:S71)</f>
        <v>3580172.0648400001</v>
      </c>
      <c r="T72" s="677">
        <f>SUM(T57:T71)</f>
        <v>1</v>
      </c>
      <c r="U72" s="688">
        <f>SUM(U57:U71)</f>
        <v>1049.0401833333333</v>
      </c>
      <c r="V72" s="677">
        <f>SUM(V57:V71)</f>
        <v>1</v>
      </c>
    </row>
    <row r="73" spans="1:22" ht="15" customHeight="1" thickBot="1" x14ac:dyDescent="0.3">
      <c r="A73" s="342"/>
      <c r="B73" s="342"/>
      <c r="E73" s="586"/>
      <c r="F73" s="586"/>
      <c r="G73" s="586"/>
      <c r="H73" s="640"/>
    </row>
    <row r="74" spans="1:22" ht="15" customHeight="1" x14ac:dyDescent="0.25">
      <c r="A74" s="330">
        <v>12000</v>
      </c>
      <c r="B74" s="326" t="s">
        <v>5</v>
      </c>
      <c r="E74" s="11"/>
      <c r="F74" s="11"/>
      <c r="G74" s="11"/>
      <c r="H74" s="639"/>
      <c r="S74" s="682">
        <v>309624</v>
      </c>
      <c r="T74" s="662">
        <f>S74/$S$89</f>
        <v>8.8494507183010496E-2</v>
      </c>
      <c r="U74" s="682">
        <v>90.351833333333332</v>
      </c>
      <c r="V74" s="662">
        <f>U74/$U$89</f>
        <v>9.0439738605931186E-2</v>
      </c>
    </row>
    <row r="75" spans="1:22" ht="15" customHeight="1" x14ac:dyDescent="0.25">
      <c r="A75" s="331">
        <v>13000</v>
      </c>
      <c r="B75" s="327" t="s">
        <v>6</v>
      </c>
      <c r="E75" s="11"/>
      <c r="F75" s="11"/>
      <c r="G75" s="11"/>
      <c r="H75" s="639"/>
      <c r="S75" s="684">
        <v>76750</v>
      </c>
      <c r="T75" s="669">
        <f t="shared" ref="T75:T88" si="31">S75/$S$89</f>
        <v>2.1936133588791745E-2</v>
      </c>
      <c r="U75" s="684">
        <v>32.669999999999995</v>
      </c>
      <c r="V75" s="669">
        <f t="shared" ref="V75:V88" si="32">U75/$U$89</f>
        <v>3.2701785356752819E-2</v>
      </c>
    </row>
    <row r="76" spans="1:22" ht="15" customHeight="1" x14ac:dyDescent="0.25">
      <c r="A76" s="331">
        <v>16000</v>
      </c>
      <c r="B76" s="327" t="s">
        <v>218</v>
      </c>
      <c r="E76" s="11"/>
      <c r="F76" s="11"/>
      <c r="G76" s="11"/>
      <c r="H76" s="639"/>
      <c r="S76" s="684">
        <v>51968.66421000001</v>
      </c>
      <c r="T76" s="669">
        <f t="shared" si="31"/>
        <v>1.4853310235069975E-2</v>
      </c>
      <c r="U76" s="684">
        <v>30.09</v>
      </c>
      <c r="V76" s="669">
        <f t="shared" si="32"/>
        <v>3.0119275218386671E-2</v>
      </c>
    </row>
    <row r="77" spans="1:22" ht="15" customHeight="1" x14ac:dyDescent="0.25">
      <c r="A77" s="331">
        <v>17000</v>
      </c>
      <c r="B77" s="327" t="s">
        <v>9</v>
      </c>
      <c r="E77" s="11"/>
      <c r="F77" s="11"/>
      <c r="G77" s="11"/>
      <c r="H77" s="639"/>
      <c r="S77" s="684">
        <v>113006</v>
      </c>
      <c r="T77" s="669">
        <f t="shared" si="31"/>
        <v>3.2298563027166126E-2</v>
      </c>
      <c r="U77" s="684">
        <v>83.823999999999998</v>
      </c>
      <c r="V77" s="669">
        <f t="shared" si="32"/>
        <v>8.3905554200932014E-2</v>
      </c>
    </row>
    <row r="78" spans="1:22" ht="15" customHeight="1" x14ac:dyDescent="0.25">
      <c r="A78" s="331">
        <v>18000</v>
      </c>
      <c r="B78" s="327" t="s">
        <v>10</v>
      </c>
      <c r="E78" s="11"/>
      <c r="F78" s="11"/>
      <c r="G78" s="11"/>
      <c r="H78" s="639"/>
      <c r="S78" s="684">
        <v>140660</v>
      </c>
      <c r="T78" s="669">
        <f t="shared" si="31"/>
        <v>4.0202430626702888E-2</v>
      </c>
      <c r="U78" s="684">
        <v>49.389000000000003</v>
      </c>
      <c r="V78" s="669">
        <f t="shared" si="32"/>
        <v>4.9437051637118624E-2</v>
      </c>
    </row>
    <row r="79" spans="1:22" ht="15" customHeight="1" x14ac:dyDescent="0.25">
      <c r="A79" s="331">
        <v>19000</v>
      </c>
      <c r="B79" s="327" t="s">
        <v>11</v>
      </c>
      <c r="E79" s="11"/>
      <c r="F79" s="11"/>
      <c r="G79" s="11"/>
      <c r="H79" s="639"/>
      <c r="S79" s="684">
        <v>22243</v>
      </c>
      <c r="T79" s="669">
        <f t="shared" si="31"/>
        <v>6.3573344549250135E-3</v>
      </c>
      <c r="U79" s="684">
        <v>39.398190476190479</v>
      </c>
      <c r="V79" s="669">
        <f t="shared" si="32"/>
        <v>3.9436521836450703E-2</v>
      </c>
    </row>
    <row r="80" spans="1:22" ht="15" customHeight="1" x14ac:dyDescent="0.25">
      <c r="A80" s="331">
        <v>22000</v>
      </c>
      <c r="B80" s="327" t="s">
        <v>13</v>
      </c>
      <c r="E80" s="11"/>
      <c r="F80" s="11"/>
      <c r="G80" s="11"/>
      <c r="H80" s="639"/>
      <c r="S80" s="684">
        <v>665162.17009000003</v>
      </c>
      <c r="T80" s="669">
        <f t="shared" si="31"/>
        <v>0.1901118725902913</v>
      </c>
      <c r="U80" s="684">
        <v>101.37299999999999</v>
      </c>
      <c r="V80" s="669">
        <f t="shared" si="32"/>
        <v>0.1014716280064311</v>
      </c>
    </row>
    <row r="81" spans="1:22" ht="15" customHeight="1" x14ac:dyDescent="0.25">
      <c r="A81" s="331">
        <v>23000</v>
      </c>
      <c r="B81" s="327" t="s">
        <v>14</v>
      </c>
      <c r="E81" s="11"/>
      <c r="F81" s="11"/>
      <c r="G81" s="11"/>
      <c r="H81" s="639"/>
      <c r="S81" s="684">
        <v>263460</v>
      </c>
      <c r="T81" s="669">
        <f t="shared" si="31"/>
        <v>7.5300244368769684E-2</v>
      </c>
      <c r="U81" s="684">
        <v>59.408000000000001</v>
      </c>
      <c r="V81" s="669">
        <f t="shared" si="32"/>
        <v>5.9465799341107191E-2</v>
      </c>
    </row>
    <row r="82" spans="1:22" ht="15" customHeight="1" x14ac:dyDescent="0.25">
      <c r="A82" s="331">
        <v>24000</v>
      </c>
      <c r="B82" s="327" t="s">
        <v>15</v>
      </c>
      <c r="E82" s="11"/>
      <c r="F82" s="11"/>
      <c r="G82" s="11"/>
      <c r="H82" s="639"/>
      <c r="S82" s="684">
        <v>221618.98699999999</v>
      </c>
      <c r="T82" s="669">
        <f t="shared" si="31"/>
        <v>6.3341546640321836E-2</v>
      </c>
      <c r="U82" s="684">
        <v>67.44</v>
      </c>
      <c r="V82" s="669">
        <f t="shared" si="32"/>
        <v>6.7505613849385082E-2</v>
      </c>
    </row>
    <row r="83" spans="1:22" ht="15" customHeight="1" x14ac:dyDescent="0.25">
      <c r="A83" s="331">
        <v>25000</v>
      </c>
      <c r="B83" s="327" t="s">
        <v>16</v>
      </c>
      <c r="E83" s="11"/>
      <c r="F83" s="11"/>
      <c r="G83" s="11"/>
      <c r="H83" s="639"/>
      <c r="S83" s="684">
        <v>153194.47742000004</v>
      </c>
      <c r="T83" s="669">
        <f t="shared" si="31"/>
        <v>4.3784944908798196E-2</v>
      </c>
      <c r="U83" s="684">
        <v>51.32</v>
      </c>
      <c r="V83" s="669">
        <f t="shared" si="32"/>
        <v>5.1369930349205846E-2</v>
      </c>
    </row>
    <row r="84" spans="1:22" ht="15" customHeight="1" x14ac:dyDescent="0.25">
      <c r="A84" s="331">
        <v>27000</v>
      </c>
      <c r="B84" s="327" t="s">
        <v>18</v>
      </c>
      <c r="E84" s="11"/>
      <c r="F84" s="11"/>
      <c r="G84" s="11"/>
      <c r="H84" s="639"/>
      <c r="S84" s="684">
        <v>600548</v>
      </c>
      <c r="T84" s="669">
        <f t="shared" si="31"/>
        <v>0.17164431471637401</v>
      </c>
      <c r="U84" s="684">
        <v>64.890999999999991</v>
      </c>
      <c r="V84" s="669">
        <f t="shared" si="32"/>
        <v>6.4954133871596181E-2</v>
      </c>
    </row>
    <row r="85" spans="1:22" ht="15" customHeight="1" x14ac:dyDescent="0.25">
      <c r="A85" s="331">
        <v>28000</v>
      </c>
      <c r="B85" s="327" t="s">
        <v>19</v>
      </c>
      <c r="E85" s="11"/>
      <c r="F85" s="11"/>
      <c r="G85" s="11"/>
      <c r="H85" s="639"/>
      <c r="S85" s="684">
        <v>111345</v>
      </c>
      <c r="T85" s="669">
        <f t="shared" si="31"/>
        <v>3.1823827940638656E-2</v>
      </c>
      <c r="U85" s="684">
        <v>76.541999999999987</v>
      </c>
      <c r="V85" s="669">
        <f t="shared" si="32"/>
        <v>7.6616469384039626E-2</v>
      </c>
    </row>
    <row r="86" spans="1:22" ht="15" customHeight="1" x14ac:dyDescent="0.25">
      <c r="A86" s="331">
        <v>31000</v>
      </c>
      <c r="B86" s="327" t="s">
        <v>20</v>
      </c>
      <c r="E86" s="11"/>
      <c r="F86" s="11"/>
      <c r="G86" s="11"/>
      <c r="H86" s="639"/>
      <c r="S86" s="684">
        <v>106851.15062999999</v>
      </c>
      <c r="T86" s="669">
        <f t="shared" si="31"/>
        <v>3.0539428199814842E-2</v>
      </c>
      <c r="U86" s="684">
        <v>38.982999999999997</v>
      </c>
      <c r="V86" s="669">
        <f t="shared" si="32"/>
        <v>3.9020927412375124E-2</v>
      </c>
    </row>
    <row r="87" spans="1:22" ht="15" customHeight="1" x14ac:dyDescent="0.25">
      <c r="A87" s="331">
        <v>41000</v>
      </c>
      <c r="B87" s="327" t="s">
        <v>21</v>
      </c>
      <c r="E87" s="11"/>
      <c r="F87" s="11"/>
      <c r="G87" s="11"/>
      <c r="H87" s="639"/>
      <c r="S87" s="684">
        <v>400144</v>
      </c>
      <c r="T87" s="669">
        <f t="shared" si="31"/>
        <v>0.11436628324108775</v>
      </c>
      <c r="U87" s="684">
        <v>138.63499999999999</v>
      </c>
      <c r="V87" s="669">
        <f t="shared" si="32"/>
        <v>0.13876988102030693</v>
      </c>
    </row>
    <row r="88" spans="1:22" ht="15" customHeight="1" thickBot="1" x14ac:dyDescent="0.3">
      <c r="A88" s="332">
        <v>43000</v>
      </c>
      <c r="B88" s="329" t="s">
        <v>22</v>
      </c>
      <c r="E88" s="11"/>
      <c r="F88" s="11"/>
      <c r="G88" s="11"/>
      <c r="H88" s="639"/>
      <c r="S88" s="684">
        <v>262217.97700000001</v>
      </c>
      <c r="T88" s="669">
        <f t="shared" si="31"/>
        <v>7.494525827823742E-2</v>
      </c>
      <c r="U88" s="684">
        <v>74.713000000000008</v>
      </c>
      <c r="V88" s="669">
        <f t="shared" si="32"/>
        <v>7.4785689909980843E-2</v>
      </c>
    </row>
    <row r="89" spans="1:22" ht="15" customHeight="1" thickBot="1" x14ac:dyDescent="0.3">
      <c r="A89" s="502">
        <v>2021</v>
      </c>
      <c r="B89" s="333" t="s">
        <v>110</v>
      </c>
      <c r="E89" s="586"/>
      <c r="F89" s="586"/>
      <c r="G89" s="586"/>
      <c r="H89" s="640"/>
      <c r="S89" s="688">
        <f>SUM(S74:S88)</f>
        <v>3498793.4263500003</v>
      </c>
      <c r="T89" s="677">
        <f>SUM(T74:T88)</f>
        <v>1</v>
      </c>
      <c r="U89" s="688">
        <f>SUM(U74:U88)</f>
        <v>999.0280238095238</v>
      </c>
      <c r="V89" s="677">
        <f>SUM(V74:V88)</f>
        <v>1.0000000000000002</v>
      </c>
    </row>
    <row r="90" spans="1:22" ht="15" customHeight="1" x14ac:dyDescent="0.25"/>
    <row r="91" spans="1:22" x14ac:dyDescent="0.25">
      <c r="A91" s="544" t="s">
        <v>209</v>
      </c>
    </row>
  </sheetData>
  <mergeCells count="15">
    <mergeCell ref="W4:W5"/>
    <mergeCell ref="X4:X5"/>
    <mergeCell ref="A3:B3"/>
    <mergeCell ref="A4:A5"/>
    <mergeCell ref="B4:B5"/>
    <mergeCell ref="C4:D4"/>
    <mergeCell ref="E4:H4"/>
    <mergeCell ref="S4:T4"/>
    <mergeCell ref="U4:V4"/>
    <mergeCell ref="A21:B21"/>
    <mergeCell ref="K4:L4"/>
    <mergeCell ref="M4:N4"/>
    <mergeCell ref="O4:P4"/>
    <mergeCell ref="Q4:R4"/>
    <mergeCell ref="I4:J4"/>
  </mergeCells>
  <hyperlinks>
    <hyperlink ref="A91" location="'0 Seznam'!A1" display="Seznam" xr:uid="{2C7935D0-7381-4E9E-9576-505719634772}"/>
  </hyperlinks>
  <pageMargins left="0.70866141732283472" right="0.70866141732283472" top="0.78740157480314965" bottom="0.78740157480314965" header="0.31496062992125984" footer="0.31496062992125984"/>
  <pageSetup paperSize="8" scale="53" orientation="landscape" r:id="rId1"/>
  <headerFooter>
    <oddHeader xml:space="preserve">&amp;LČ. j.: 842/2025-1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C2E6"/>
    <pageSetUpPr fitToPage="1"/>
  </sheetPr>
  <dimension ref="A1:X42"/>
  <sheetViews>
    <sheetView zoomScale="85" zoomScaleNormal="85" workbookViewId="0">
      <selection activeCell="E24" sqref="E24"/>
    </sheetView>
  </sheetViews>
  <sheetFormatPr defaultRowHeight="15" x14ac:dyDescent="0.25"/>
  <cols>
    <col min="1" max="1" width="10.5703125" customWidth="1"/>
    <col min="2" max="2" width="52.28515625" customWidth="1"/>
    <col min="3" max="20" width="10.85546875" customWidth="1"/>
    <col min="21" max="22" width="12.28515625" customWidth="1"/>
    <col min="23" max="24" width="12.7109375" customWidth="1"/>
  </cols>
  <sheetData>
    <row r="1" spans="1:24" ht="27.75" x14ac:dyDescent="0.25">
      <c r="A1" s="299" t="s">
        <v>244</v>
      </c>
    </row>
    <row r="2" spans="1:24" ht="15.75" thickBot="1" x14ac:dyDescent="0.3"/>
    <row r="3" spans="1:24" ht="15.75" thickBot="1" x14ac:dyDescent="0.3">
      <c r="A3" s="882" t="s">
        <v>99</v>
      </c>
      <c r="B3" s="883"/>
      <c r="C3" s="300"/>
      <c r="D3" s="608">
        <v>0.15</v>
      </c>
      <c r="E3" s="607"/>
      <c r="F3" s="659"/>
      <c r="G3" s="659"/>
      <c r="H3" s="608">
        <v>0.22</v>
      </c>
      <c r="I3" s="607"/>
      <c r="J3" s="608">
        <v>0.05</v>
      </c>
      <c r="K3" s="607"/>
      <c r="L3" s="608">
        <v>0.05</v>
      </c>
      <c r="M3" s="607"/>
      <c r="N3" s="608">
        <v>0.3</v>
      </c>
      <c r="O3" s="607"/>
      <c r="P3" s="608">
        <v>0.03</v>
      </c>
      <c r="Q3" s="607"/>
      <c r="R3" s="608">
        <v>3.5000000000000003E-2</v>
      </c>
      <c r="S3" s="607"/>
      <c r="T3" s="608">
        <v>6.5000000000000002E-2</v>
      </c>
      <c r="U3" s="607"/>
      <c r="V3" s="608">
        <v>0.1</v>
      </c>
      <c r="W3" s="660">
        <f>SUM(C3:V3)</f>
        <v>1.0000000000000002</v>
      </c>
      <c r="X3" s="610">
        <v>0.54400690933250961</v>
      </c>
    </row>
    <row r="4" spans="1:24" ht="30" customHeight="1" x14ac:dyDescent="0.25">
      <c r="A4" s="884" t="s">
        <v>2</v>
      </c>
      <c r="B4" s="886" t="s">
        <v>3</v>
      </c>
      <c r="C4" s="891" t="s">
        <v>111</v>
      </c>
      <c r="D4" s="899"/>
      <c r="E4" s="903" t="s">
        <v>100</v>
      </c>
      <c r="F4" s="904"/>
      <c r="G4" s="904"/>
      <c r="H4" s="908"/>
      <c r="I4" s="891" t="s">
        <v>101</v>
      </c>
      <c r="J4" s="899"/>
      <c r="K4" s="891" t="s">
        <v>272</v>
      </c>
      <c r="L4" s="892"/>
      <c r="M4" s="884" t="s">
        <v>102</v>
      </c>
      <c r="N4" s="902"/>
      <c r="O4" s="884" t="s">
        <v>103</v>
      </c>
      <c r="P4" s="902"/>
      <c r="Q4" s="884" t="s">
        <v>146</v>
      </c>
      <c r="R4" s="902"/>
      <c r="S4" s="884" t="s">
        <v>104</v>
      </c>
      <c r="T4" s="902"/>
      <c r="U4" s="884" t="s">
        <v>113</v>
      </c>
      <c r="V4" s="902"/>
      <c r="W4" s="893" t="s">
        <v>105</v>
      </c>
      <c r="X4" s="893" t="s">
        <v>106</v>
      </c>
    </row>
    <row r="5" spans="1:24" ht="15.75" thickBot="1" x14ac:dyDescent="0.3">
      <c r="A5" s="885"/>
      <c r="B5" s="887"/>
      <c r="C5" s="306" t="s">
        <v>28</v>
      </c>
      <c r="D5" s="317" t="s">
        <v>109</v>
      </c>
      <c r="E5" s="302" t="s">
        <v>107</v>
      </c>
      <c r="F5" s="303" t="s">
        <v>108</v>
      </c>
      <c r="G5" s="304" t="s">
        <v>28</v>
      </c>
      <c r="H5" s="305" t="s">
        <v>109</v>
      </c>
      <c r="I5" s="306" t="s">
        <v>28</v>
      </c>
      <c r="J5" s="317" t="s">
        <v>109</v>
      </c>
      <c r="K5" s="306" t="s">
        <v>28</v>
      </c>
      <c r="L5" s="307" t="s">
        <v>109</v>
      </c>
      <c r="M5" s="306" t="s">
        <v>28</v>
      </c>
      <c r="N5" s="307" t="s">
        <v>109</v>
      </c>
      <c r="O5" s="306" t="s">
        <v>28</v>
      </c>
      <c r="P5" s="307" t="s">
        <v>109</v>
      </c>
      <c r="Q5" s="306" t="s">
        <v>28</v>
      </c>
      <c r="R5" s="307" t="s">
        <v>109</v>
      </c>
      <c r="S5" s="306" t="s">
        <v>28</v>
      </c>
      <c r="T5" s="307" t="s">
        <v>109</v>
      </c>
      <c r="U5" s="306" t="s">
        <v>28</v>
      </c>
      <c r="V5" s="307" t="s">
        <v>109</v>
      </c>
      <c r="W5" s="894"/>
      <c r="X5" s="894"/>
    </row>
    <row r="6" spans="1:24" x14ac:dyDescent="0.25">
      <c r="A6" s="334">
        <v>11000</v>
      </c>
      <c r="B6" s="335" t="s">
        <v>4</v>
      </c>
      <c r="C6" s="690"/>
      <c r="D6" s="694">
        <f>D13</f>
        <v>0.32168418331687365</v>
      </c>
      <c r="E6" s="690"/>
      <c r="F6" s="692"/>
      <c r="G6" s="693"/>
      <c r="H6" s="691">
        <f>0.5*H13+0.3*H20+0.2*H27</f>
        <v>0.3962078805000766</v>
      </c>
      <c r="I6" s="690"/>
      <c r="J6" s="694">
        <f>J13</f>
        <v>0.34872388191427489</v>
      </c>
      <c r="K6" s="764"/>
      <c r="L6" s="691">
        <f>0.5*L13+0.3*L20+0.2*L27</f>
        <v>0.31776601961267958</v>
      </c>
      <c r="M6" s="690"/>
      <c r="N6" s="694">
        <f>N13</f>
        <v>0.41075859120679259</v>
      </c>
      <c r="O6" s="690"/>
      <c r="P6" s="694">
        <f>P13</f>
        <v>6.2408622813469122E-2</v>
      </c>
      <c r="Q6" s="690"/>
      <c r="R6" s="694">
        <f>R13</f>
        <v>0.64331088158931049</v>
      </c>
      <c r="S6" s="690"/>
      <c r="T6" s="691">
        <f>0.5*T20+0.3*T27+0.2*T34</f>
        <v>0.30546482294951788</v>
      </c>
      <c r="U6" s="690"/>
      <c r="V6" s="691">
        <f>0.5*V20+0.3*V27+0.2*V34</f>
        <v>0.384127496909767</v>
      </c>
      <c r="W6" s="695">
        <f t="array" ref="W6">SUM($C$3:$V$3*C6:V6)</f>
        <v>0.37462653636865867</v>
      </c>
      <c r="X6" s="696">
        <f>W6*$X$3</f>
        <v>0.20379942420385702</v>
      </c>
    </row>
    <row r="7" spans="1:24" x14ac:dyDescent="0.25">
      <c r="A7" s="334">
        <v>14000</v>
      </c>
      <c r="B7" s="336" t="s">
        <v>7</v>
      </c>
      <c r="C7" s="697"/>
      <c r="D7" s="699">
        <f t="shared" ref="D7:D10" si="0">D14</f>
        <v>0.25805532116381874</v>
      </c>
      <c r="E7" s="697"/>
      <c r="F7" s="692"/>
      <c r="G7" s="692"/>
      <c r="H7" s="698">
        <f t="shared" ref="H7:H10" si="1">0.5*H14+0.3*H21+0.2*H28</f>
        <v>0.27178797140670352</v>
      </c>
      <c r="I7" s="697"/>
      <c r="J7" s="699">
        <f t="shared" ref="J7:J10" si="2">J14</f>
        <v>0.22067293305574787</v>
      </c>
      <c r="K7" s="765"/>
      <c r="L7" s="698">
        <f t="shared" ref="L7:L10" si="3">0.5*L14+0.3*L21+0.2*L28</f>
        <v>0.25681173507744104</v>
      </c>
      <c r="M7" s="697"/>
      <c r="N7" s="699">
        <f t="shared" ref="N7:N10" si="4">N14</f>
        <v>0.19003867883609887</v>
      </c>
      <c r="O7" s="697"/>
      <c r="P7" s="699">
        <f t="shared" ref="P7:R10" si="5">P14</f>
        <v>3.3843823304758526E-2</v>
      </c>
      <c r="Q7" s="697"/>
      <c r="R7" s="699">
        <f t="shared" si="5"/>
        <v>0.20238682768909144</v>
      </c>
      <c r="S7" s="697"/>
      <c r="T7" s="698">
        <f t="shared" ref="T7:V10" si="6">0.5*T21+0.3*T28+0.2*T35</f>
        <v>0.2608718343046198</v>
      </c>
      <c r="U7" s="697"/>
      <c r="V7" s="698">
        <f t="shared" si="6"/>
        <v>0.23786287746786144</v>
      </c>
      <c r="W7" s="700">
        <f t="array" ref="W7">SUM($C$3:$V$3*C7:V7)</f>
        <v>0.22822929958638408</v>
      </c>
      <c r="X7" s="701">
        <f>W7*$X$3</f>
        <v>0.12415831588711222</v>
      </c>
    </row>
    <row r="8" spans="1:24" x14ac:dyDescent="0.25">
      <c r="A8" s="334">
        <v>15000</v>
      </c>
      <c r="B8" s="336" t="s">
        <v>8</v>
      </c>
      <c r="C8" s="697"/>
      <c r="D8" s="699">
        <f t="shared" si="0"/>
        <v>0.15790242326326417</v>
      </c>
      <c r="E8" s="697"/>
      <c r="F8" s="692"/>
      <c r="G8" s="692"/>
      <c r="H8" s="698">
        <f t="shared" si="1"/>
        <v>0.1050739891001365</v>
      </c>
      <c r="I8" s="697"/>
      <c r="J8" s="699">
        <f t="shared" si="2"/>
        <v>0.17090846425609491</v>
      </c>
      <c r="K8" s="765"/>
      <c r="L8" s="698">
        <f t="shared" si="3"/>
        <v>0.16795683592372371</v>
      </c>
      <c r="M8" s="697"/>
      <c r="N8" s="699">
        <f t="shared" si="4"/>
        <v>0.13793853376129733</v>
      </c>
      <c r="O8" s="697"/>
      <c r="P8" s="699">
        <f t="shared" si="5"/>
        <v>6.5017079465268218E-2</v>
      </c>
      <c r="Q8" s="697"/>
      <c r="R8" s="699">
        <f t="shared" si="5"/>
        <v>6.5765629335877832E-2</v>
      </c>
      <c r="S8" s="697"/>
      <c r="T8" s="698">
        <f t="shared" si="6"/>
        <v>8.4630354717161627E-2</v>
      </c>
      <c r="U8" s="697"/>
      <c r="V8" s="698">
        <f t="shared" si="6"/>
        <v>0.13573551638513556</v>
      </c>
      <c r="W8" s="700">
        <f t="array" ref="W8">SUM($C$3:$V$3*C8:V8)</f>
        <v>0.12845330033474264</v>
      </c>
      <c r="X8" s="701">
        <f>W8*$X$3</f>
        <v>6.987948290866397E-2</v>
      </c>
    </row>
    <row r="9" spans="1:24" x14ac:dyDescent="0.25">
      <c r="A9" s="334">
        <v>21000</v>
      </c>
      <c r="B9" s="336" t="s">
        <v>12</v>
      </c>
      <c r="C9" s="697"/>
      <c r="D9" s="699">
        <f t="shared" si="0"/>
        <v>0.12631365538821299</v>
      </c>
      <c r="E9" s="697"/>
      <c r="F9" s="692"/>
      <c r="G9" s="692"/>
      <c r="H9" s="698">
        <f t="shared" si="1"/>
        <v>0.14334063945992984</v>
      </c>
      <c r="I9" s="697"/>
      <c r="J9" s="699">
        <f t="shared" si="2"/>
        <v>0.13997995366903776</v>
      </c>
      <c r="K9" s="765"/>
      <c r="L9" s="698">
        <f t="shared" si="3"/>
        <v>0.12573566113051518</v>
      </c>
      <c r="M9" s="697"/>
      <c r="N9" s="699">
        <f t="shared" si="4"/>
        <v>0.16562696043633146</v>
      </c>
      <c r="O9" s="697"/>
      <c r="P9" s="699">
        <f t="shared" si="5"/>
        <v>0.39530094097856133</v>
      </c>
      <c r="Q9" s="697"/>
      <c r="R9" s="699">
        <f t="shared" si="5"/>
        <v>6.1442864033899793E-2</v>
      </c>
      <c r="S9" s="697"/>
      <c r="T9" s="698">
        <f t="shared" si="6"/>
        <v>0.20525924891735503</v>
      </c>
      <c r="U9" s="697"/>
      <c r="V9" s="698">
        <f t="shared" si="6"/>
        <v>0.16157654862535664</v>
      </c>
      <c r="W9" s="700">
        <f t="array" ref="W9">SUM($C$3:$V$3*C9:V9)</f>
        <v>0.15696489237300068</v>
      </c>
      <c r="X9" s="701">
        <f>W9*$X$3</f>
        <v>8.5389985973546106E-2</v>
      </c>
    </row>
    <row r="10" spans="1:24" ht="15.75" thickBot="1" x14ac:dyDescent="0.3">
      <c r="A10" s="337">
        <v>26000</v>
      </c>
      <c r="B10" s="338" t="s">
        <v>17</v>
      </c>
      <c r="C10" s="697"/>
      <c r="D10" s="699">
        <f t="shared" si="0"/>
        <v>0.13604441686783034</v>
      </c>
      <c r="E10" s="702"/>
      <c r="F10" s="692"/>
      <c r="G10" s="703"/>
      <c r="H10" s="698">
        <f t="shared" si="1"/>
        <v>8.3589519533153495E-2</v>
      </c>
      <c r="I10" s="697"/>
      <c r="J10" s="699">
        <f t="shared" si="2"/>
        <v>0.11971476710484449</v>
      </c>
      <c r="K10" s="765"/>
      <c r="L10" s="698">
        <f t="shared" si="3"/>
        <v>0.13172974825564052</v>
      </c>
      <c r="M10" s="697"/>
      <c r="N10" s="699">
        <f t="shared" si="4"/>
        <v>9.5637235759479758E-2</v>
      </c>
      <c r="O10" s="697"/>
      <c r="P10" s="699">
        <f t="shared" si="5"/>
        <v>0.44342953343794278</v>
      </c>
      <c r="Q10" s="697"/>
      <c r="R10" s="699">
        <f t="shared" si="5"/>
        <v>2.7093797351820444E-2</v>
      </c>
      <c r="S10" s="697"/>
      <c r="T10" s="698">
        <f t="shared" si="6"/>
        <v>0.14377373911134567</v>
      </c>
      <c r="U10" s="697"/>
      <c r="V10" s="698">
        <f t="shared" si="6"/>
        <v>8.0697560611879354E-2</v>
      </c>
      <c r="W10" s="700">
        <f t="array" ref="W10">SUM($C$3:$V$3*C10:V10)</f>
        <v>0.11172597133721392</v>
      </c>
      <c r="X10" s="701">
        <f>W10*$X$3</f>
        <v>6.0779700359330301E-2</v>
      </c>
    </row>
    <row r="11" spans="1:24" ht="15.75" thickBot="1" x14ac:dyDescent="0.3">
      <c r="A11" s="906" t="s">
        <v>110</v>
      </c>
      <c r="B11" s="907"/>
      <c r="C11" s="705"/>
      <c r="D11" s="708">
        <f>SUM(D6:D10)</f>
        <v>0.99999999999999978</v>
      </c>
      <c r="E11" s="705"/>
      <c r="F11" s="707"/>
      <c r="G11" s="707"/>
      <c r="H11" s="706">
        <f>SUM(H6:H10)</f>
        <v>1</v>
      </c>
      <c r="I11" s="705"/>
      <c r="J11" s="708">
        <f>SUM(J6:J10)</f>
        <v>1</v>
      </c>
      <c r="K11" s="766"/>
      <c r="L11" s="706">
        <f>SUM(L6:L10)</f>
        <v>1</v>
      </c>
      <c r="M11" s="705"/>
      <c r="N11" s="708">
        <f>SUM(N6:N10)</f>
        <v>0.99999999999999989</v>
      </c>
      <c r="O11" s="705"/>
      <c r="P11" s="706">
        <f>SUM(P6:P10)</f>
        <v>1</v>
      </c>
      <c r="Q11" s="705"/>
      <c r="R11" s="708">
        <f>SUM(R6:R10)</f>
        <v>1</v>
      </c>
      <c r="S11" s="705"/>
      <c r="T11" s="706">
        <f>SUM(T6:T10)</f>
        <v>1</v>
      </c>
      <c r="U11" s="705"/>
      <c r="V11" s="706">
        <f>SUM(V6:V10)</f>
        <v>1</v>
      </c>
      <c r="W11" s="709">
        <f>SUM(W6:W10)</f>
        <v>1</v>
      </c>
      <c r="X11" s="710">
        <f>SUM(X6:X10)</f>
        <v>0.54400690933250961</v>
      </c>
    </row>
    <row r="12" spans="1:24" ht="15.75" thickBot="1" x14ac:dyDescent="0.3">
      <c r="C12" s="11"/>
      <c r="E12" s="11"/>
      <c r="F12" s="11"/>
      <c r="G12" s="11"/>
      <c r="I12" s="11"/>
      <c r="M12" s="11"/>
      <c r="O12" s="11"/>
      <c r="Q12" s="11"/>
      <c r="S12" s="11"/>
      <c r="U12" s="11"/>
    </row>
    <row r="13" spans="1:24" x14ac:dyDescent="0.25">
      <c r="A13" s="339">
        <v>11000</v>
      </c>
      <c r="B13" s="335" t="s">
        <v>4</v>
      </c>
      <c r="C13" s="690">
        <v>24989.331113542667</v>
      </c>
      <c r="D13" s="694">
        <f>C13/$C$18</f>
        <v>0.32168418331687365</v>
      </c>
      <c r="E13" s="690">
        <v>306269</v>
      </c>
      <c r="F13" s="693">
        <v>498650</v>
      </c>
      <c r="G13" s="693">
        <f>E13+F13</f>
        <v>804919</v>
      </c>
      <c r="H13" s="691">
        <f>G13/$G$18</f>
        <v>0.39799459760674871</v>
      </c>
      <c r="I13" s="690">
        <v>12835.403161693295</v>
      </c>
      <c r="J13" s="691">
        <f>I13/$I$18</f>
        <v>0.34872388191427489</v>
      </c>
      <c r="K13" s="690">
        <v>7971</v>
      </c>
      <c r="L13" s="694">
        <f>K13/$K$18</f>
        <v>0.31948536042806469</v>
      </c>
      <c r="M13" s="690"/>
      <c r="N13" s="694">
        <v>0.41075859120679259</v>
      </c>
      <c r="O13" s="690">
        <v>13564.8</v>
      </c>
      <c r="P13" s="691">
        <f>O13/$O$18</f>
        <v>6.2408622813469122E-2</v>
      </c>
      <c r="Q13" s="690"/>
      <c r="R13" s="691">
        <v>0.64331088158931049</v>
      </c>
      <c r="S13" s="11"/>
      <c r="U13" s="11"/>
    </row>
    <row r="14" spans="1:24" x14ac:dyDescent="0.25">
      <c r="A14" s="334">
        <v>14000</v>
      </c>
      <c r="B14" s="336" t="s">
        <v>7</v>
      </c>
      <c r="C14" s="697">
        <v>20046.462339810056</v>
      </c>
      <c r="D14" s="699">
        <f t="shared" ref="D14:D17" si="7">C14/$C$18</f>
        <v>0.25805532116381874</v>
      </c>
      <c r="E14" s="697">
        <v>219021</v>
      </c>
      <c r="F14" s="692">
        <v>322997</v>
      </c>
      <c r="G14" s="692">
        <f>E14+F14</f>
        <v>542018</v>
      </c>
      <c r="H14" s="698">
        <f t="shared" ref="H14:H17" si="8">G14/$G$18</f>
        <v>0.26800241490835069</v>
      </c>
      <c r="I14" s="697">
        <v>8122.260073200724</v>
      </c>
      <c r="J14" s="698">
        <f t="shared" ref="J14:J17" si="9">I14/$I$18</f>
        <v>0.22067293305574787</v>
      </c>
      <c r="K14" s="697">
        <v>6382</v>
      </c>
      <c r="L14" s="699">
        <f t="shared" ref="L14:L17" si="10">K14/$K$18</f>
        <v>0.25579670935289284</v>
      </c>
      <c r="M14" s="697"/>
      <c r="N14" s="699">
        <v>0.19003867883609887</v>
      </c>
      <c r="O14" s="697">
        <v>7356.1100000000006</v>
      </c>
      <c r="P14" s="698">
        <f t="shared" ref="P14:P17" si="11">O14/$O$18</f>
        <v>3.3843823304758526E-2</v>
      </c>
      <c r="Q14" s="697"/>
      <c r="R14" s="698">
        <v>0.20238682768909144</v>
      </c>
      <c r="S14" s="11"/>
      <c r="U14" s="11"/>
    </row>
    <row r="15" spans="1:24" x14ac:dyDescent="0.25">
      <c r="A15" s="334">
        <v>15000</v>
      </c>
      <c r="B15" s="336" t="s">
        <v>8</v>
      </c>
      <c r="C15" s="697">
        <v>12266.303857002515</v>
      </c>
      <c r="D15" s="699">
        <f t="shared" si="7"/>
        <v>0.15790242326326417</v>
      </c>
      <c r="E15" s="697">
        <v>105165</v>
      </c>
      <c r="F15" s="692">
        <v>105563</v>
      </c>
      <c r="G15" s="692">
        <f>E15+F15</f>
        <v>210728</v>
      </c>
      <c r="H15" s="698">
        <f t="shared" si="8"/>
        <v>0.10419508741186993</v>
      </c>
      <c r="I15" s="697">
        <v>6290.5902240790256</v>
      </c>
      <c r="J15" s="698">
        <f t="shared" si="9"/>
        <v>0.17090846425609491</v>
      </c>
      <c r="K15" s="697">
        <v>4315.5</v>
      </c>
      <c r="L15" s="699">
        <f t="shared" si="10"/>
        <v>0.17296939818433235</v>
      </c>
      <c r="M15" s="697"/>
      <c r="N15" s="699">
        <v>0.13793853376129733</v>
      </c>
      <c r="O15" s="697">
        <v>14131.759999999998</v>
      </c>
      <c r="P15" s="698">
        <f t="shared" si="11"/>
        <v>6.5017079465268218E-2</v>
      </c>
      <c r="Q15" s="697"/>
      <c r="R15" s="698">
        <v>6.5765629335877832E-2</v>
      </c>
      <c r="S15" s="11"/>
      <c r="U15" s="11"/>
    </row>
    <row r="16" spans="1:24" x14ac:dyDescent="0.25">
      <c r="A16" s="334">
        <v>21000</v>
      </c>
      <c r="B16" s="336" t="s">
        <v>12</v>
      </c>
      <c r="C16" s="697">
        <v>9812.3996216148626</v>
      </c>
      <c r="D16" s="699">
        <f t="shared" si="7"/>
        <v>0.12631365538821299</v>
      </c>
      <c r="E16" s="697">
        <v>86034</v>
      </c>
      <c r="F16" s="692">
        <v>210958</v>
      </c>
      <c r="G16" s="692">
        <f>E16+F16</f>
        <v>296992</v>
      </c>
      <c r="H16" s="698">
        <f t="shared" si="8"/>
        <v>0.14684857921408676</v>
      </c>
      <c r="I16" s="697">
        <v>5152.2113427807108</v>
      </c>
      <c r="J16" s="698">
        <f t="shared" si="9"/>
        <v>0.13997995366903776</v>
      </c>
      <c r="K16" s="697">
        <v>3111.5</v>
      </c>
      <c r="L16" s="699">
        <f t="shared" si="10"/>
        <v>0.12471191807451051</v>
      </c>
      <c r="M16" s="697"/>
      <c r="N16" s="699">
        <v>0.16562696043633146</v>
      </c>
      <c r="O16" s="697">
        <v>85920.469999999987</v>
      </c>
      <c r="P16" s="698">
        <f t="shared" si="11"/>
        <v>0.39530094097856133</v>
      </c>
      <c r="Q16" s="697"/>
      <c r="R16" s="698">
        <v>6.1442864033899793E-2</v>
      </c>
      <c r="S16" s="11"/>
      <c r="U16" s="11"/>
    </row>
    <row r="17" spans="1:24" ht="15.75" thickBot="1" x14ac:dyDescent="0.3">
      <c r="A17" s="337">
        <v>26000</v>
      </c>
      <c r="B17" s="338" t="s">
        <v>17</v>
      </c>
      <c r="C17" s="697">
        <v>10568.312511374617</v>
      </c>
      <c r="D17" s="699">
        <f t="shared" si="7"/>
        <v>0.13604441686783034</v>
      </c>
      <c r="E17" s="702">
        <v>66775</v>
      </c>
      <c r="F17" s="692">
        <v>101005</v>
      </c>
      <c r="G17" s="703">
        <f>E17+F17</f>
        <v>167780</v>
      </c>
      <c r="H17" s="704">
        <f t="shared" si="8"/>
        <v>8.2959320858943933E-2</v>
      </c>
      <c r="I17" s="697">
        <v>4406.3150816170064</v>
      </c>
      <c r="J17" s="698">
        <f t="shared" si="9"/>
        <v>0.11971476710484449</v>
      </c>
      <c r="K17" s="702">
        <v>3169.5</v>
      </c>
      <c r="L17" s="699">
        <f t="shared" si="10"/>
        <v>0.12703661396019961</v>
      </c>
      <c r="M17" s="697"/>
      <c r="N17" s="699">
        <v>9.5637235759479758E-2</v>
      </c>
      <c r="O17" s="697">
        <v>96381.440000000002</v>
      </c>
      <c r="P17" s="698">
        <f t="shared" si="11"/>
        <v>0.44342953343794278</v>
      </c>
      <c r="Q17" s="697"/>
      <c r="R17" s="698">
        <v>2.7093797351820444E-2</v>
      </c>
      <c r="S17" s="11"/>
      <c r="U17" s="11"/>
    </row>
    <row r="18" spans="1:24" ht="15.75" thickBot="1" x14ac:dyDescent="0.3">
      <c r="A18" s="340">
        <v>2024</v>
      </c>
      <c r="B18" s="341" t="s">
        <v>110</v>
      </c>
      <c r="C18" s="705">
        <f>SUM(C13:C17)</f>
        <v>77682.809443344726</v>
      </c>
      <c r="D18" s="708">
        <f>SUM(D13:D17)</f>
        <v>0.99999999999999978</v>
      </c>
      <c r="E18" s="705">
        <f>SUM(E13:E17)</f>
        <v>783264</v>
      </c>
      <c r="F18" s="707">
        <f>SUM(F13:F17)</f>
        <v>1239173</v>
      </c>
      <c r="G18" s="707">
        <f>SUM(G13:G17)</f>
        <v>2022437</v>
      </c>
      <c r="H18" s="706">
        <f t="shared" ref="H18:P18" si="12">SUM(H13:H17)</f>
        <v>1</v>
      </c>
      <c r="I18" s="705">
        <f t="shared" si="12"/>
        <v>36806.779883370764</v>
      </c>
      <c r="J18" s="706">
        <f t="shared" si="12"/>
        <v>1</v>
      </c>
      <c r="K18" s="705">
        <f t="shared" si="12"/>
        <v>24949.5</v>
      </c>
      <c r="L18" s="706">
        <f t="shared" si="12"/>
        <v>1</v>
      </c>
      <c r="M18" s="705">
        <f t="shared" si="12"/>
        <v>0</v>
      </c>
      <c r="N18" s="708">
        <f t="shared" si="12"/>
        <v>0.99999999999999989</v>
      </c>
      <c r="O18" s="705">
        <f t="shared" si="12"/>
        <v>217354.58</v>
      </c>
      <c r="P18" s="706">
        <f t="shared" si="12"/>
        <v>1</v>
      </c>
      <c r="Q18" s="705"/>
      <c r="R18" s="706">
        <f t="shared" ref="R18" si="13">SUM(R13:R17)</f>
        <v>1</v>
      </c>
      <c r="S18" s="11"/>
      <c r="U18" s="11"/>
    </row>
    <row r="19" spans="1:24" ht="15.75" thickBot="1" x14ac:dyDescent="0.3">
      <c r="C19" s="11"/>
      <c r="E19" s="11"/>
      <c r="F19" s="11"/>
      <c r="G19" s="11"/>
      <c r="I19" s="11"/>
      <c r="M19" s="11"/>
      <c r="O19" s="11"/>
      <c r="Q19" s="11"/>
      <c r="S19" s="11"/>
      <c r="U19" s="11"/>
    </row>
    <row r="20" spans="1:24" x14ac:dyDescent="0.25">
      <c r="A20" s="339">
        <v>11000</v>
      </c>
      <c r="B20" s="767" t="s">
        <v>4</v>
      </c>
      <c r="C20" s="11"/>
      <c r="D20" s="639"/>
      <c r="E20" s="690">
        <v>308525</v>
      </c>
      <c r="F20" s="693">
        <v>501427</v>
      </c>
      <c r="G20" s="693">
        <f>E20+F20</f>
        <v>809952</v>
      </c>
      <c r="H20" s="691">
        <f>G20/$G$25</f>
        <v>0.39583459584358816</v>
      </c>
      <c r="I20" s="11"/>
      <c r="J20" s="639"/>
      <c r="K20" s="690">
        <v>7636</v>
      </c>
      <c r="L20" s="691">
        <f>K20/$K$25</f>
        <v>0.31822633410431123</v>
      </c>
      <c r="M20" s="11"/>
      <c r="N20" s="639"/>
      <c r="O20" s="11"/>
      <c r="P20" s="639"/>
      <c r="Q20" s="11"/>
      <c r="R20" s="639"/>
      <c r="S20" s="690">
        <v>2067001.2960400002</v>
      </c>
      <c r="T20" s="691">
        <f>S20/$S$25</f>
        <v>0.29124676493168383</v>
      </c>
      <c r="U20" s="690">
        <v>838.62900000000013</v>
      </c>
      <c r="V20" s="691">
        <f>U20/$U$25</f>
        <v>0.39347549540844629</v>
      </c>
      <c r="X20" s="587"/>
    </row>
    <row r="21" spans="1:24" x14ac:dyDescent="0.25">
      <c r="A21" s="334">
        <v>14000</v>
      </c>
      <c r="B21" s="768" t="s">
        <v>7</v>
      </c>
      <c r="C21" s="11"/>
      <c r="D21" s="639"/>
      <c r="E21" s="697">
        <v>215591</v>
      </c>
      <c r="F21" s="692">
        <v>339528</v>
      </c>
      <c r="G21" s="692">
        <f>E21+F21</f>
        <v>555119</v>
      </c>
      <c r="H21" s="698">
        <f t="shared" ref="H21:H24" si="14">G21/$G$25</f>
        <v>0.27129423102862493</v>
      </c>
      <c r="I21" s="11"/>
      <c r="J21" s="639"/>
      <c r="K21" s="697">
        <v>6174</v>
      </c>
      <c r="L21" s="698">
        <f t="shared" ref="L21:L24" si="15">K21/$K$25</f>
        <v>0.25729824342064139</v>
      </c>
      <c r="M21" s="11"/>
      <c r="N21" s="639"/>
      <c r="O21" s="11"/>
      <c r="P21" s="639"/>
      <c r="Q21" s="11"/>
      <c r="R21" s="639"/>
      <c r="S21" s="697">
        <v>1901724.4737099998</v>
      </c>
      <c r="T21" s="698">
        <f t="shared" ref="T21:T24" si="16">S21/$S$25</f>
        <v>0.26795875833293531</v>
      </c>
      <c r="U21" s="697">
        <v>484.43529999999998</v>
      </c>
      <c r="V21" s="698">
        <f t="shared" ref="V21:V24" si="17">U21/$U$25</f>
        <v>0.22729171023281958</v>
      </c>
      <c r="X21" s="587"/>
    </row>
    <row r="22" spans="1:24" x14ac:dyDescent="0.25">
      <c r="A22" s="334">
        <v>15000</v>
      </c>
      <c r="B22" s="768" t="s">
        <v>8</v>
      </c>
      <c r="C22" s="11"/>
      <c r="D22" s="639"/>
      <c r="E22" s="697">
        <v>102405</v>
      </c>
      <c r="F22" s="692">
        <v>124869</v>
      </c>
      <c r="G22" s="692">
        <f>E22+F22</f>
        <v>227274</v>
      </c>
      <c r="H22" s="698">
        <f t="shared" si="14"/>
        <v>0.11107190541631561</v>
      </c>
      <c r="I22" s="11"/>
      <c r="J22" s="639"/>
      <c r="K22" s="697">
        <v>3982</v>
      </c>
      <c r="L22" s="698">
        <f t="shared" si="15"/>
        <v>0.16594778187576836</v>
      </c>
      <c r="M22" s="11"/>
      <c r="N22" s="639"/>
      <c r="O22" s="11"/>
      <c r="P22" s="639"/>
      <c r="Q22" s="11"/>
      <c r="R22" s="639"/>
      <c r="S22" s="697">
        <v>663067</v>
      </c>
      <c r="T22" s="698">
        <f t="shared" si="16"/>
        <v>9.3428155586032915E-2</v>
      </c>
      <c r="U22" s="697">
        <v>275.01</v>
      </c>
      <c r="V22" s="698">
        <f t="shared" si="17"/>
        <v>0.12903166476746783</v>
      </c>
      <c r="X22" s="587"/>
    </row>
    <row r="23" spans="1:24" x14ac:dyDescent="0.25">
      <c r="A23" s="334">
        <v>21000</v>
      </c>
      <c r="B23" s="768" t="s">
        <v>12</v>
      </c>
      <c r="C23" s="11"/>
      <c r="D23" s="639"/>
      <c r="E23" s="697">
        <v>76456</v>
      </c>
      <c r="F23" s="692">
        <v>205206</v>
      </c>
      <c r="G23" s="692">
        <f>E23+F23</f>
        <v>281662</v>
      </c>
      <c r="H23" s="698">
        <f t="shared" si="14"/>
        <v>0.13765206325127505</v>
      </c>
      <c r="I23" s="11"/>
      <c r="J23" s="639"/>
      <c r="K23" s="697">
        <v>2959.5</v>
      </c>
      <c r="L23" s="698">
        <f t="shared" si="15"/>
        <v>0.12333562542976809</v>
      </c>
      <c r="M23" s="11"/>
      <c r="N23" s="639"/>
      <c r="O23" s="11"/>
      <c r="P23" s="639"/>
      <c r="Q23" s="11"/>
      <c r="R23" s="639"/>
      <c r="S23" s="697">
        <v>1469839.2193500001</v>
      </c>
      <c r="T23" s="698">
        <f t="shared" si="16"/>
        <v>0.20710481334749728</v>
      </c>
      <c r="U23" s="697">
        <v>356.65</v>
      </c>
      <c r="V23" s="698">
        <f t="shared" si="17"/>
        <v>0.16733625409736883</v>
      </c>
      <c r="X23" s="587"/>
    </row>
    <row r="24" spans="1:24" ht="15.75" thickBot="1" x14ac:dyDescent="0.3">
      <c r="A24" s="337">
        <v>26000</v>
      </c>
      <c r="B24" s="769" t="s">
        <v>17</v>
      </c>
      <c r="C24" s="11"/>
      <c r="D24" s="639"/>
      <c r="E24" s="702">
        <v>68275</v>
      </c>
      <c r="F24" s="692">
        <v>103906</v>
      </c>
      <c r="G24" s="703">
        <f>E24+F24</f>
        <v>172181</v>
      </c>
      <c r="H24" s="704">
        <f t="shared" si="14"/>
        <v>8.4147204460196232E-2</v>
      </c>
      <c r="I24" s="11"/>
      <c r="J24" s="639"/>
      <c r="K24" s="702">
        <v>3244</v>
      </c>
      <c r="L24" s="698">
        <f t="shared" si="15"/>
        <v>0.13519201516951096</v>
      </c>
      <c r="M24" s="11"/>
      <c r="N24" s="639"/>
      <c r="O24" s="11"/>
      <c r="P24" s="639"/>
      <c r="Q24" s="11"/>
      <c r="R24" s="639"/>
      <c r="S24" s="697">
        <v>995447</v>
      </c>
      <c r="T24" s="698">
        <f t="shared" si="16"/>
        <v>0.14026150780185065</v>
      </c>
      <c r="U24" s="697">
        <v>176.613</v>
      </c>
      <c r="V24" s="698">
        <f t="shared" si="17"/>
        <v>8.2864875493897663E-2</v>
      </c>
      <c r="X24" s="587"/>
    </row>
    <row r="25" spans="1:24" ht="15.75" thickBot="1" x14ac:dyDescent="0.3">
      <c r="A25" s="340">
        <v>2023</v>
      </c>
      <c r="B25" s="340" t="s">
        <v>110</v>
      </c>
      <c r="C25" s="586"/>
      <c r="D25" s="640"/>
      <c r="E25" s="705">
        <f>SUM(E20:E24)</f>
        <v>771252</v>
      </c>
      <c r="F25" s="707">
        <f>SUM(F20:F24)</f>
        <v>1274936</v>
      </c>
      <c r="G25" s="707">
        <f>SUM(G20:G24)</f>
        <v>2046188</v>
      </c>
      <c r="H25" s="706">
        <f t="shared" ref="H25:L25" si="18">SUM(H20:H24)</f>
        <v>0.99999999999999989</v>
      </c>
      <c r="I25" s="586"/>
      <c r="J25" s="640"/>
      <c r="K25" s="705">
        <f t="shared" si="18"/>
        <v>23995.5</v>
      </c>
      <c r="L25" s="706">
        <f t="shared" si="18"/>
        <v>1</v>
      </c>
      <c r="M25" s="586"/>
      <c r="N25" s="640"/>
      <c r="O25" s="586"/>
      <c r="P25" s="640"/>
      <c r="Q25" s="586"/>
      <c r="R25" s="640"/>
      <c r="S25" s="705">
        <f>SUM(S20:S24)</f>
        <v>7097078.9890999999</v>
      </c>
      <c r="T25" s="706">
        <f>SUM(T20:T24)</f>
        <v>1</v>
      </c>
      <c r="U25" s="705">
        <f>SUM(U20:U24)</f>
        <v>2131.3372999999997</v>
      </c>
      <c r="V25" s="706">
        <f>SUM(V20:V24)</f>
        <v>1.0000000000000002</v>
      </c>
    </row>
    <row r="26" spans="1:24" ht="15.75" thickBot="1" x14ac:dyDescent="0.3">
      <c r="C26" s="11"/>
      <c r="E26" s="11"/>
      <c r="F26" s="11"/>
      <c r="G26" s="11"/>
      <c r="I26" s="11"/>
      <c r="M26" s="11"/>
      <c r="O26" s="11"/>
      <c r="Q26" s="11"/>
      <c r="S26" s="11"/>
      <c r="U26" s="11"/>
    </row>
    <row r="27" spans="1:24" x14ac:dyDescent="0.25">
      <c r="A27" s="339">
        <v>11000</v>
      </c>
      <c r="B27" s="335" t="s">
        <v>4</v>
      </c>
      <c r="C27" s="11"/>
      <c r="E27" s="690">
        <v>303341</v>
      </c>
      <c r="F27" s="693">
        <v>474404</v>
      </c>
      <c r="G27" s="693">
        <f>E27+F27</f>
        <v>777745</v>
      </c>
      <c r="H27" s="691">
        <f>G27/$G$32</f>
        <v>0.39230101471812912</v>
      </c>
      <c r="I27" s="11"/>
      <c r="K27" s="690">
        <v>7017</v>
      </c>
      <c r="L27" s="691">
        <f>K27/$K$32</f>
        <v>0.31277719583676927</v>
      </c>
      <c r="M27" s="11"/>
      <c r="O27" s="11"/>
      <c r="Q27" s="11"/>
      <c r="S27" s="690">
        <v>2025553.9409799997</v>
      </c>
      <c r="T27" s="691">
        <f>S27/$S$32</f>
        <v>0.31420764677490026</v>
      </c>
      <c r="U27" s="690">
        <v>747.52929999999992</v>
      </c>
      <c r="V27" s="691">
        <f>U27/$U$32</f>
        <v>0.36693881742438972</v>
      </c>
    </row>
    <row r="28" spans="1:24" x14ac:dyDescent="0.25">
      <c r="A28" s="334">
        <v>14000</v>
      </c>
      <c r="B28" s="336" t="s">
        <v>7</v>
      </c>
      <c r="E28" s="697">
        <v>202606</v>
      </c>
      <c r="F28" s="692">
        <v>356450</v>
      </c>
      <c r="G28" s="692">
        <f>E28+F28</f>
        <v>559056</v>
      </c>
      <c r="H28" s="698">
        <f>G28/$G$32</f>
        <v>0.28199247321970361</v>
      </c>
      <c r="K28" s="697">
        <v>5802</v>
      </c>
      <c r="L28" s="698">
        <f t="shared" ref="L28:L31" si="19">K28/$K$32</f>
        <v>0.25861953687401101</v>
      </c>
      <c r="Q28" s="11"/>
      <c r="S28" s="697">
        <v>1711535</v>
      </c>
      <c r="T28" s="698">
        <f t="shared" ref="T28:T31" si="20">S28/$S$32</f>
        <v>0.26549645202866951</v>
      </c>
      <c r="U28" s="697">
        <v>501.51189999999997</v>
      </c>
      <c r="V28" s="698">
        <f t="shared" ref="V28:V31" si="21">U28/$U$32</f>
        <v>0.2461765492138687</v>
      </c>
    </row>
    <row r="29" spans="1:24" x14ac:dyDescent="0.25">
      <c r="A29" s="334">
        <v>15000</v>
      </c>
      <c r="B29" s="336" t="s">
        <v>8</v>
      </c>
      <c r="E29" s="697">
        <v>86011</v>
      </c>
      <c r="F29" s="692">
        <v>108820</v>
      </c>
      <c r="G29" s="692">
        <f>E29+F29</f>
        <v>194831</v>
      </c>
      <c r="H29" s="698">
        <f>G29/$G$32</f>
        <v>9.8274368846534288E-2</v>
      </c>
      <c r="K29" s="697">
        <v>3554.5</v>
      </c>
      <c r="L29" s="698">
        <f t="shared" si="19"/>
        <v>0.15843901134413516</v>
      </c>
      <c r="P29" s="713"/>
      <c r="S29" s="697">
        <v>481131</v>
      </c>
      <c r="T29" s="698">
        <f t="shared" si="20"/>
        <v>7.4633924203130989E-2</v>
      </c>
      <c r="U29" s="697">
        <v>282.495</v>
      </c>
      <c r="V29" s="698">
        <f t="shared" si="21"/>
        <v>0.13866798428944924</v>
      </c>
    </row>
    <row r="30" spans="1:24" x14ac:dyDescent="0.25">
      <c r="A30" s="334">
        <v>21000</v>
      </c>
      <c r="B30" s="336" t="s">
        <v>12</v>
      </c>
      <c r="E30" s="697">
        <v>73097</v>
      </c>
      <c r="F30" s="692">
        <v>210609</v>
      </c>
      <c r="G30" s="692">
        <f>E30+F30</f>
        <v>283706</v>
      </c>
      <c r="H30" s="698">
        <f>G30/$G$32</f>
        <v>0.14310365438751974</v>
      </c>
      <c r="K30" s="697">
        <v>2959</v>
      </c>
      <c r="L30" s="698">
        <f t="shared" si="19"/>
        <v>0.13189507232164746</v>
      </c>
      <c r="P30" s="713"/>
      <c r="S30" s="697">
        <v>1294278.7168700001</v>
      </c>
      <c r="T30" s="698">
        <f t="shared" si="20"/>
        <v>0.20077089119720246</v>
      </c>
      <c r="U30" s="697">
        <v>330.83</v>
      </c>
      <c r="V30" s="698">
        <f t="shared" si="21"/>
        <v>0.16239412818803339</v>
      </c>
    </row>
    <row r="31" spans="1:24" ht="15.75" thickBot="1" x14ac:dyDescent="0.3">
      <c r="A31" s="337">
        <v>26000</v>
      </c>
      <c r="B31" s="338" t="s">
        <v>17</v>
      </c>
      <c r="E31" s="702">
        <v>59898</v>
      </c>
      <c r="F31" s="692">
        <v>107285</v>
      </c>
      <c r="G31" s="703">
        <f>E31+F31</f>
        <v>167183</v>
      </c>
      <c r="H31" s="704">
        <f>G31/$G$32</f>
        <v>8.4328488828113293E-2</v>
      </c>
      <c r="K31" s="702">
        <v>3102</v>
      </c>
      <c r="L31" s="698">
        <f t="shared" si="19"/>
        <v>0.13826918362343713</v>
      </c>
      <c r="P31" s="713"/>
      <c r="S31" s="697">
        <v>934047</v>
      </c>
      <c r="T31" s="698">
        <f t="shared" si="20"/>
        <v>0.14489108579609689</v>
      </c>
      <c r="U31" s="697">
        <v>174.83799999999999</v>
      </c>
      <c r="V31" s="698">
        <f t="shared" si="21"/>
        <v>8.5822520884258929E-2</v>
      </c>
    </row>
    <row r="32" spans="1:24" ht="15.75" thickBot="1" x14ac:dyDescent="0.3">
      <c r="A32" s="340">
        <v>2022</v>
      </c>
      <c r="B32" s="341" t="s">
        <v>110</v>
      </c>
      <c r="E32" s="705">
        <f>SUM(E27:E31)</f>
        <v>724953</v>
      </c>
      <c r="F32" s="707">
        <f>SUM(F27:F31)</f>
        <v>1257568</v>
      </c>
      <c r="G32" s="707">
        <f>SUM(G27:G31)</f>
        <v>1982521</v>
      </c>
      <c r="H32" s="706">
        <f t="shared" ref="H32" si="22">SUM(H27:H31)</f>
        <v>1</v>
      </c>
      <c r="K32" s="705">
        <f t="shared" ref="K32:L32" si="23">SUM(K27:K31)</f>
        <v>22434.5</v>
      </c>
      <c r="L32" s="706">
        <f t="shared" si="23"/>
        <v>1</v>
      </c>
      <c r="P32" s="713"/>
      <c r="S32" s="705">
        <f>SUM(S27:S31)</f>
        <v>6446545.6578499991</v>
      </c>
      <c r="T32" s="706">
        <f>SUM(T27:T31)</f>
        <v>1</v>
      </c>
      <c r="U32" s="705">
        <f>SUM(U27:U31)</f>
        <v>2037.2041999999999</v>
      </c>
      <c r="V32" s="706">
        <f>SUM(V27:V31)</f>
        <v>1</v>
      </c>
    </row>
    <row r="33" spans="1:22" ht="15.75" thickBot="1" x14ac:dyDescent="0.3">
      <c r="E33" s="11"/>
      <c r="F33" s="11"/>
      <c r="G33" s="11"/>
      <c r="P33" s="713"/>
      <c r="S33" s="11"/>
      <c r="U33" s="11"/>
    </row>
    <row r="34" spans="1:22" x14ac:dyDescent="0.25">
      <c r="A34" s="339">
        <v>11000</v>
      </c>
      <c r="B34" s="335" t="s">
        <v>4</v>
      </c>
      <c r="E34" s="11"/>
      <c r="F34" s="11"/>
      <c r="G34" s="11"/>
      <c r="H34" s="639"/>
      <c r="S34" s="690">
        <v>1988607.4809800002</v>
      </c>
      <c r="T34" s="691">
        <f>S34/$S$39</f>
        <v>0.32789573225602947</v>
      </c>
      <c r="U34" s="690">
        <v>702.62800000000016</v>
      </c>
      <c r="V34" s="691">
        <f>U34/$U$39</f>
        <v>0.38654051989113486</v>
      </c>
    </row>
    <row r="35" spans="1:22" x14ac:dyDescent="0.25">
      <c r="A35" s="334">
        <v>14000</v>
      </c>
      <c r="B35" s="336" t="s">
        <v>7</v>
      </c>
      <c r="E35" s="11"/>
      <c r="F35" s="11"/>
      <c r="G35" s="11"/>
      <c r="H35" s="639"/>
      <c r="S35" s="697">
        <v>1432602</v>
      </c>
      <c r="T35" s="698">
        <f>S35/$S$39</f>
        <v>0.23621759764775654</v>
      </c>
      <c r="U35" s="697">
        <v>457.74239999999992</v>
      </c>
      <c r="V35" s="698">
        <f>U35/$U$39</f>
        <v>0.25182028793645533</v>
      </c>
    </row>
    <row r="36" spans="1:22" x14ac:dyDescent="0.25">
      <c r="A36" s="334">
        <v>15000</v>
      </c>
      <c r="B36" s="336" t="s">
        <v>8</v>
      </c>
      <c r="E36" s="11"/>
      <c r="F36" s="11"/>
      <c r="G36" s="11"/>
      <c r="H36" s="639"/>
      <c r="S36" s="697">
        <v>470810</v>
      </c>
      <c r="T36" s="698">
        <f>S36/$S$39</f>
        <v>7.7630498316029334E-2</v>
      </c>
      <c r="U36" s="697">
        <v>269.2</v>
      </c>
      <c r="V36" s="698">
        <f>U36/$U$39</f>
        <v>0.14809644357283439</v>
      </c>
    </row>
    <row r="37" spans="1:22" x14ac:dyDescent="0.25">
      <c r="A37" s="334">
        <v>21000</v>
      </c>
      <c r="B37" s="336" t="s">
        <v>12</v>
      </c>
      <c r="E37" s="11"/>
      <c r="F37" s="11"/>
      <c r="G37" s="11"/>
      <c r="H37" s="639"/>
      <c r="N37" s="712"/>
      <c r="S37" s="697">
        <v>1257696.12684</v>
      </c>
      <c r="T37" s="698">
        <f>S37/$S$39</f>
        <v>0.20737787442222816</v>
      </c>
      <c r="U37" s="697">
        <v>265.3</v>
      </c>
      <c r="V37" s="698">
        <f>U37/$U$39</f>
        <v>0.14595091560131118</v>
      </c>
    </row>
    <row r="38" spans="1:22" ht="15.75" thickBot="1" x14ac:dyDescent="0.3">
      <c r="A38" s="337">
        <v>26000</v>
      </c>
      <c r="B38" s="338" t="s">
        <v>17</v>
      </c>
      <c r="E38" s="11"/>
      <c r="F38" s="11"/>
      <c r="G38" s="11"/>
      <c r="H38" s="639"/>
      <c r="S38" s="697">
        <v>915040</v>
      </c>
      <c r="T38" s="698">
        <f>S38/$S$39</f>
        <v>0.15087829735795646</v>
      </c>
      <c r="U38" s="697">
        <v>122.86400000000002</v>
      </c>
      <c r="V38" s="698">
        <f>U38/$U$39</f>
        <v>6.7591832998264226E-2</v>
      </c>
    </row>
    <row r="39" spans="1:22" ht="15.75" thickBot="1" x14ac:dyDescent="0.3">
      <c r="A39" s="340">
        <v>2021</v>
      </c>
      <c r="B39" s="341" t="s">
        <v>110</v>
      </c>
      <c r="E39" s="586"/>
      <c r="F39" s="586"/>
      <c r="G39" s="586"/>
      <c r="H39" s="640"/>
      <c r="S39" s="705">
        <f>SUM(S34:S38)</f>
        <v>6064755.6078200005</v>
      </c>
      <c r="T39" s="706">
        <f>SUM(T34:T38)</f>
        <v>0.99999999999999989</v>
      </c>
      <c r="U39" s="705">
        <f>SUM(U34:U38)</f>
        <v>1817.7344000000001</v>
      </c>
      <c r="V39" s="706">
        <f>SUM(V34:V38)</f>
        <v>0.99999999999999989</v>
      </c>
    </row>
    <row r="40" spans="1:22" x14ac:dyDescent="0.25">
      <c r="Q40" s="11"/>
    </row>
    <row r="41" spans="1:22" x14ac:dyDescent="0.25">
      <c r="A41" s="544" t="s">
        <v>209</v>
      </c>
    </row>
    <row r="42" spans="1:22" x14ac:dyDescent="0.25">
      <c r="A42" s="35"/>
    </row>
  </sheetData>
  <mergeCells count="15">
    <mergeCell ref="W4:W5"/>
    <mergeCell ref="X4:X5"/>
    <mergeCell ref="A3:B3"/>
    <mergeCell ref="A4:A5"/>
    <mergeCell ref="B4:B5"/>
    <mergeCell ref="C4:D4"/>
    <mergeCell ref="E4:H4"/>
    <mergeCell ref="S4:T4"/>
    <mergeCell ref="U4:V4"/>
    <mergeCell ref="A11:B11"/>
    <mergeCell ref="K4:L4"/>
    <mergeCell ref="M4:N4"/>
    <mergeCell ref="O4:P4"/>
    <mergeCell ref="Q4:R4"/>
    <mergeCell ref="I4:J4"/>
  </mergeCells>
  <hyperlinks>
    <hyperlink ref="A41" location="'0 Seznam'!A1" display="Seznam" xr:uid="{FDABC279-2734-4B64-89A7-F5CA3F876EDB}"/>
  </hyperlinks>
  <pageMargins left="0.70866141732283472" right="0.70866141732283472" top="0.78740157480314965" bottom="0.78740157480314965" header="0.31496062992125984" footer="0.31496062992125984"/>
  <pageSetup paperSize="8" scale="62" orientation="landscape" r:id="rId1"/>
  <headerFooter>
    <oddHeader xml:space="preserve">&amp;LČ. j.: 842/2025-1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96D3-CA0B-4F43-AF55-BBDD8E9E48FA}">
  <sheetPr>
    <tabColor rgb="FFFF0000"/>
  </sheetPr>
  <dimension ref="A1:F17"/>
  <sheetViews>
    <sheetView zoomScale="85" zoomScaleNormal="85" workbookViewId="0">
      <selection activeCell="K40" sqref="K40"/>
    </sheetView>
  </sheetViews>
  <sheetFormatPr defaultRowHeight="15" x14ac:dyDescent="0.25"/>
  <cols>
    <col min="2" max="2" width="40.5703125" customWidth="1"/>
    <col min="3" max="3" width="37.140625" customWidth="1"/>
    <col min="4" max="5" width="26.28515625" customWidth="1"/>
    <col min="6" max="6" width="37.42578125" customWidth="1"/>
  </cols>
  <sheetData>
    <row r="1" spans="1:6" ht="27.75" x14ac:dyDescent="0.25">
      <c r="A1" s="299" t="s">
        <v>168</v>
      </c>
    </row>
    <row r="2" spans="1:6" ht="15.75" customHeight="1" x14ac:dyDescent="0.25">
      <c r="A2" s="299"/>
    </row>
    <row r="3" spans="1:6" ht="15.75" customHeight="1" x14ac:dyDescent="0.25">
      <c r="A3" s="299"/>
      <c r="B3" s="475" t="s">
        <v>246</v>
      </c>
      <c r="C3" s="495">
        <v>700000000</v>
      </c>
    </row>
    <row r="4" spans="1:6" ht="15.75" thickBot="1" x14ac:dyDescent="0.3"/>
    <row r="5" spans="1:6" ht="15.75" thickBot="1" x14ac:dyDescent="0.3">
      <c r="A5" s="489" t="s">
        <v>2</v>
      </c>
      <c r="B5" s="490" t="s">
        <v>3</v>
      </c>
      <c r="C5" s="488" t="s">
        <v>121</v>
      </c>
      <c r="D5" s="490" t="s">
        <v>29</v>
      </c>
      <c r="E5" s="488" t="s">
        <v>122</v>
      </c>
    </row>
    <row r="6" spans="1:6" x14ac:dyDescent="0.25">
      <c r="A6" s="26">
        <v>11000</v>
      </c>
      <c r="B6" s="491" t="s">
        <v>4</v>
      </c>
      <c r="C6" s="492" t="s">
        <v>169</v>
      </c>
      <c r="D6" s="571">
        <v>0.222119161246212</v>
      </c>
      <c r="E6" s="574">
        <f>ROUND(D6*$C$3,0)</f>
        <v>155483413</v>
      </c>
      <c r="F6" s="567"/>
    </row>
    <row r="7" spans="1:6" x14ac:dyDescent="0.25">
      <c r="A7" s="25">
        <v>11000</v>
      </c>
      <c r="B7" s="493" t="s">
        <v>4</v>
      </c>
      <c r="C7" s="494" t="s">
        <v>170</v>
      </c>
      <c r="D7" s="572">
        <v>0.10049859404671686</v>
      </c>
      <c r="E7" s="575">
        <f t="shared" ref="E7:E13" si="0">ROUND(D7*$C$3,0)</f>
        <v>70349016</v>
      </c>
      <c r="F7" s="568"/>
    </row>
    <row r="8" spans="1:6" x14ac:dyDescent="0.25">
      <c r="A8" s="25">
        <v>11000</v>
      </c>
      <c r="B8" s="493" t="s">
        <v>4</v>
      </c>
      <c r="C8" s="494" t="s">
        <v>171</v>
      </c>
      <c r="D8" s="572">
        <v>9.6693303214819712E-2</v>
      </c>
      <c r="E8" s="575">
        <f t="shared" si="0"/>
        <v>67685312</v>
      </c>
    </row>
    <row r="9" spans="1:6" x14ac:dyDescent="0.25">
      <c r="A9" s="25">
        <v>11000</v>
      </c>
      <c r="B9" s="493" t="s">
        <v>4</v>
      </c>
      <c r="C9" s="494" t="s">
        <v>172</v>
      </c>
      <c r="D9" s="572">
        <v>0.12507229711211443</v>
      </c>
      <c r="E9" s="575">
        <f t="shared" si="0"/>
        <v>87550608</v>
      </c>
    </row>
    <row r="10" spans="1:6" x14ac:dyDescent="0.25">
      <c r="A10" s="25">
        <v>11000</v>
      </c>
      <c r="B10" s="493" t="s">
        <v>4</v>
      </c>
      <c r="C10" s="494" t="s">
        <v>173</v>
      </c>
      <c r="D10" s="572">
        <v>9.2036540155254684E-2</v>
      </c>
      <c r="E10" s="575">
        <f t="shared" si="0"/>
        <v>64425578</v>
      </c>
    </row>
    <row r="11" spans="1:6" x14ac:dyDescent="0.25">
      <c r="A11" s="25">
        <v>14000</v>
      </c>
      <c r="B11" s="493" t="s">
        <v>7</v>
      </c>
      <c r="C11" s="494" t="s">
        <v>174</v>
      </c>
      <c r="D11" s="572">
        <v>0.20003355171206388</v>
      </c>
      <c r="E11" s="575">
        <f t="shared" si="0"/>
        <v>140023486</v>
      </c>
    </row>
    <row r="12" spans="1:6" x14ac:dyDescent="0.25">
      <c r="A12" s="25">
        <v>15000</v>
      </c>
      <c r="B12" s="493" t="s">
        <v>8</v>
      </c>
      <c r="C12" s="494" t="s">
        <v>174</v>
      </c>
      <c r="D12" s="572">
        <v>0.11052606938767151</v>
      </c>
      <c r="E12" s="575">
        <f t="shared" si="0"/>
        <v>77368249</v>
      </c>
    </row>
    <row r="13" spans="1:6" ht="15.75" thickBot="1" x14ac:dyDescent="0.3">
      <c r="A13" s="32">
        <v>17000</v>
      </c>
      <c r="B13" s="569" t="s">
        <v>9</v>
      </c>
      <c r="C13" s="570" t="s">
        <v>174</v>
      </c>
      <c r="D13" s="573">
        <v>5.3020483125146914E-2</v>
      </c>
      <c r="E13" s="576">
        <f t="shared" si="0"/>
        <v>37114338</v>
      </c>
    </row>
    <row r="14" spans="1:6" ht="15.75" thickBot="1" x14ac:dyDescent="0.3">
      <c r="A14" s="909" t="s">
        <v>28</v>
      </c>
      <c r="B14" s="910"/>
      <c r="C14" s="910"/>
      <c r="D14" s="8">
        <f>SUM(D6:D13)</f>
        <v>0.99999999999999989</v>
      </c>
      <c r="E14" s="296">
        <f>SUM(E6:E13)</f>
        <v>700000000</v>
      </c>
    </row>
    <row r="17" spans="1:1" x14ac:dyDescent="0.25">
      <c r="A17" s="544" t="s">
        <v>209</v>
      </c>
    </row>
  </sheetData>
  <mergeCells count="1">
    <mergeCell ref="A14:C14"/>
  </mergeCells>
  <hyperlinks>
    <hyperlink ref="A17" location="'0 Seznam'!A1" display="Seznam" xr:uid="{B16C6632-712D-4BB3-8277-E62580020892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842/2025-1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D51"/>
  <sheetViews>
    <sheetView zoomScale="70" zoomScaleNormal="70" workbookViewId="0">
      <selection activeCell="S22" sqref="S22"/>
    </sheetView>
  </sheetViews>
  <sheetFormatPr defaultRowHeight="15" x14ac:dyDescent="0.25"/>
  <cols>
    <col min="2" max="2" width="35.7109375" customWidth="1"/>
    <col min="3" max="3" width="35.140625" customWidth="1"/>
    <col min="4" max="4" width="26" customWidth="1"/>
  </cols>
  <sheetData>
    <row r="1" spans="1:4" ht="27.75" x14ac:dyDescent="0.25">
      <c r="A1" s="299" t="s">
        <v>247</v>
      </c>
      <c r="B1" s="770"/>
      <c r="C1" s="770"/>
      <c r="D1" s="770"/>
    </row>
    <row r="2" spans="1:4" x14ac:dyDescent="0.25">
      <c r="A2" s="770"/>
      <c r="B2" s="770"/>
      <c r="C2" s="770"/>
      <c r="D2" s="770"/>
    </row>
    <row r="3" spans="1:4" x14ac:dyDescent="0.25">
      <c r="A3" s="770"/>
      <c r="B3" s="475" t="s">
        <v>248</v>
      </c>
      <c r="C3" s="343">
        <v>30212000</v>
      </c>
      <c r="D3" s="770" t="s">
        <v>33</v>
      </c>
    </row>
    <row r="4" spans="1:4" ht="15.75" thickBot="1" x14ac:dyDescent="0.3">
      <c r="A4" s="770"/>
      <c r="B4" s="770"/>
      <c r="C4" s="770"/>
      <c r="D4" s="770"/>
    </row>
    <row r="5" spans="1:4" x14ac:dyDescent="0.25">
      <c r="A5" s="911" t="s">
        <v>2</v>
      </c>
      <c r="B5" s="913" t="s">
        <v>3</v>
      </c>
      <c r="C5" s="915" t="s">
        <v>122</v>
      </c>
      <c r="D5" s="770"/>
    </row>
    <row r="6" spans="1:4" ht="39" customHeight="1" x14ac:dyDescent="0.25">
      <c r="A6" s="912"/>
      <c r="B6" s="914"/>
      <c r="C6" s="916"/>
      <c r="D6" s="770"/>
    </row>
    <row r="7" spans="1:4" ht="39" customHeight="1" x14ac:dyDescent="0.25">
      <c r="A7" s="912"/>
      <c r="B7" s="914"/>
      <c r="C7" s="916"/>
      <c r="D7" s="770"/>
    </row>
    <row r="8" spans="1:4" ht="15" customHeight="1" thickBot="1" x14ac:dyDescent="0.3">
      <c r="A8" s="912"/>
      <c r="B8" s="914"/>
      <c r="C8" s="916"/>
      <c r="D8" s="770"/>
    </row>
    <row r="9" spans="1:4" ht="15" customHeight="1" thickBot="1" x14ac:dyDescent="0.3">
      <c r="A9" s="771">
        <v>16000</v>
      </c>
      <c r="B9" s="772" t="s">
        <v>218</v>
      </c>
      <c r="C9" s="773">
        <v>30212000</v>
      </c>
      <c r="D9" s="770"/>
    </row>
    <row r="10" spans="1:4" ht="15" customHeight="1" x14ac:dyDescent="0.25"/>
    <row r="11" spans="1:4" ht="15" customHeight="1" x14ac:dyDescent="0.25"/>
    <row r="12" spans="1:4" ht="15" customHeight="1" x14ac:dyDescent="0.25">
      <c r="A12" s="544" t="s">
        <v>209</v>
      </c>
    </row>
    <row r="13" spans="1:4" ht="15" customHeight="1" x14ac:dyDescent="0.25"/>
    <row r="14" spans="1:4" ht="15" customHeight="1" x14ac:dyDescent="0.25"/>
    <row r="15" spans="1:4" ht="15" customHeight="1" x14ac:dyDescent="0.25"/>
    <row r="21" ht="33" customHeight="1" x14ac:dyDescent="0.25"/>
    <row r="22" ht="33" customHeight="1" x14ac:dyDescent="0.25"/>
    <row r="33" ht="42.75" customHeight="1" x14ac:dyDescent="0.25"/>
    <row r="34" ht="42.75" customHeight="1" x14ac:dyDescent="0.25"/>
    <row r="35" ht="60.7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7" ht="42" customHeight="1" x14ac:dyDescent="0.25"/>
    <row r="48" ht="77.25" customHeight="1" x14ac:dyDescent="0.25"/>
    <row r="51" ht="15" customHeight="1" x14ac:dyDescent="0.25"/>
  </sheetData>
  <mergeCells count="3">
    <mergeCell ref="A5:A8"/>
    <mergeCell ref="B5:B8"/>
    <mergeCell ref="C5:C8"/>
  </mergeCells>
  <hyperlinks>
    <hyperlink ref="A12" location="'0 Seznam'!A1" display="Seznam" xr:uid="{50462AA4-A3F5-42AF-9222-E017E681BD7C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842/2025-1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XEV71"/>
  <sheetViews>
    <sheetView zoomScale="70" zoomScaleNormal="70" workbookViewId="0"/>
  </sheetViews>
  <sheetFormatPr defaultRowHeight="15" x14ac:dyDescent="0.25"/>
  <cols>
    <col min="2" max="2" width="61.140625" customWidth="1"/>
    <col min="3" max="11" width="21.85546875" customWidth="1"/>
    <col min="12" max="12" width="21.5703125" customWidth="1"/>
    <col min="13" max="13" width="23.42578125" customWidth="1"/>
  </cols>
  <sheetData>
    <row r="1" spans="1:13 16376:16376" ht="27.75" x14ac:dyDescent="0.4">
      <c r="A1" s="12" t="s">
        <v>245</v>
      </c>
      <c r="B1" s="13"/>
      <c r="C1" s="13"/>
      <c r="D1" s="13"/>
      <c r="E1" s="13"/>
      <c r="F1" s="13"/>
      <c r="G1" s="13"/>
      <c r="H1" s="13"/>
      <c r="I1" s="13"/>
    </row>
    <row r="2" spans="1:13 16376:16376" ht="28.5" x14ac:dyDescent="0.45">
      <c r="A2" s="14" t="s">
        <v>265</v>
      </c>
      <c r="B2" s="15"/>
      <c r="C2" s="15"/>
      <c r="D2" s="15"/>
      <c r="E2" s="15"/>
      <c r="F2" s="15"/>
      <c r="G2" s="15"/>
      <c r="H2" s="15"/>
      <c r="I2" s="15"/>
    </row>
    <row r="3" spans="1:13 16376:16376" ht="28.5" x14ac:dyDescent="0.45">
      <c r="A3" s="14"/>
      <c r="B3" s="15"/>
      <c r="C3" s="15"/>
      <c r="D3" s="15"/>
      <c r="E3" s="15"/>
      <c r="F3" s="15"/>
      <c r="G3" s="15"/>
      <c r="H3" s="15"/>
      <c r="I3" s="15"/>
    </row>
    <row r="4" spans="1:13 16376:16376" x14ac:dyDescent="0.25">
      <c r="A4" s="15"/>
      <c r="B4" s="16" t="s">
        <v>32</v>
      </c>
      <c r="C4" s="17">
        <f>'1 Bilance'!O20</f>
        <v>27018481307</v>
      </c>
      <c r="D4" s="16" t="s">
        <v>33</v>
      </c>
      <c r="E4" s="15"/>
      <c r="F4" s="15"/>
      <c r="G4" s="15"/>
      <c r="H4" s="15"/>
      <c r="I4" s="15"/>
    </row>
    <row r="5" spans="1:13 16376:16376" x14ac:dyDescent="0.25">
      <c r="A5" s="15"/>
      <c r="B5" s="16" t="s">
        <v>35</v>
      </c>
      <c r="C5" s="17">
        <f>'1 Bilance'!O16</f>
        <v>19930561474</v>
      </c>
      <c r="D5" s="16" t="s">
        <v>33</v>
      </c>
      <c r="E5" s="16" t="s">
        <v>38</v>
      </c>
      <c r="F5" s="24">
        <f>C5/($C$5+$C$6)</f>
        <v>0.76020648967340998</v>
      </c>
      <c r="G5" s="17"/>
    </row>
    <row r="6" spans="1:13 16376:16376" x14ac:dyDescent="0.25">
      <c r="A6" s="15"/>
      <c r="B6" s="16" t="s">
        <v>36</v>
      </c>
      <c r="C6" s="17">
        <f>'1 Bilance'!O17</f>
        <v>6286738358</v>
      </c>
      <c r="D6" s="16" t="s">
        <v>33</v>
      </c>
      <c r="E6" s="16" t="s">
        <v>38</v>
      </c>
      <c r="F6" s="24">
        <f>C6/($C$5+$C$6)</f>
        <v>0.23979351032659008</v>
      </c>
      <c r="G6" s="17"/>
    </row>
    <row r="7" spans="1:13 16376:16376" x14ac:dyDescent="0.25">
      <c r="A7" s="15"/>
      <c r="B7" s="16" t="s">
        <v>249</v>
      </c>
      <c r="C7" s="17">
        <f>'1 Bilance'!O18</f>
        <v>70969475</v>
      </c>
      <c r="D7" s="16" t="s">
        <v>33</v>
      </c>
      <c r="E7" s="16"/>
      <c r="F7" s="24"/>
      <c r="G7" s="17"/>
    </row>
    <row r="8" spans="1:13 16376:16376" x14ac:dyDescent="0.25">
      <c r="A8" s="15"/>
      <c r="B8" s="16" t="s">
        <v>37</v>
      </c>
      <c r="C8" s="17">
        <f>'1 Bilance'!O19</f>
        <v>730212000</v>
      </c>
      <c r="D8" s="16" t="s">
        <v>33</v>
      </c>
      <c r="E8" s="16"/>
      <c r="F8" s="23"/>
      <c r="G8" s="15"/>
      <c r="H8" s="15"/>
      <c r="I8" s="15"/>
    </row>
    <row r="9" spans="1:13 16376:16376" x14ac:dyDescent="0.25">
      <c r="A9" s="15"/>
      <c r="B9" s="13" t="s">
        <v>42</v>
      </c>
      <c r="C9" s="343">
        <v>700000000</v>
      </c>
      <c r="D9" s="13" t="s">
        <v>33</v>
      </c>
      <c r="E9" s="16"/>
      <c r="F9" s="23"/>
      <c r="G9" s="15"/>
      <c r="H9" s="15"/>
      <c r="I9" s="15"/>
    </row>
    <row r="10" spans="1:13 16376:16376" x14ac:dyDescent="0.25">
      <c r="A10" s="15"/>
      <c r="B10" s="13" t="s">
        <v>227</v>
      </c>
      <c r="C10" s="343">
        <v>30212000</v>
      </c>
      <c r="D10" s="13" t="s">
        <v>33</v>
      </c>
      <c r="E10" s="15"/>
      <c r="F10" s="15"/>
      <c r="G10" s="15"/>
      <c r="H10" s="15"/>
      <c r="I10" s="18"/>
      <c r="J10" s="18"/>
      <c r="K10" s="18"/>
    </row>
    <row r="11" spans="1:13 16376:16376" ht="15.75" thickBot="1" x14ac:dyDescent="0.3">
      <c r="A11" s="15"/>
      <c r="B11" s="16"/>
      <c r="C11" s="15"/>
      <c r="D11" s="15"/>
      <c r="E11" s="15"/>
      <c r="F11" s="15"/>
      <c r="G11" s="15"/>
      <c r="H11" s="15"/>
      <c r="I11" s="18"/>
      <c r="J11" s="18"/>
      <c r="K11" s="18"/>
      <c r="L11" s="36" t="s">
        <v>0</v>
      </c>
    </row>
    <row r="12" spans="1:13 16376:16376" ht="28.5" customHeight="1" x14ac:dyDescent="0.25">
      <c r="A12" s="923" t="s">
        <v>2</v>
      </c>
      <c r="B12" s="920" t="s">
        <v>3</v>
      </c>
      <c r="C12" s="934" t="s">
        <v>39</v>
      </c>
      <c r="D12" s="935"/>
      <c r="E12" s="935"/>
      <c r="F12" s="936"/>
      <c r="G12" s="937" t="s">
        <v>40</v>
      </c>
      <c r="H12" s="938"/>
      <c r="I12" s="945" t="s">
        <v>1</v>
      </c>
      <c r="J12" s="946"/>
      <c r="K12" s="787" t="s">
        <v>250</v>
      </c>
      <c r="L12" s="926" t="s">
        <v>34</v>
      </c>
    </row>
    <row r="13" spans="1:13 16376:16376" ht="30.75" customHeight="1" x14ac:dyDescent="0.25">
      <c r="A13" s="924"/>
      <c r="B13" s="921"/>
      <c r="C13" s="918" t="s">
        <v>29</v>
      </c>
      <c r="D13" s="932" t="s">
        <v>30</v>
      </c>
      <c r="E13" s="930" t="s">
        <v>215</v>
      </c>
      <c r="F13" s="943" t="s">
        <v>31</v>
      </c>
      <c r="G13" s="941" t="s">
        <v>29</v>
      </c>
      <c r="H13" s="939" t="s">
        <v>30</v>
      </c>
      <c r="I13" s="929" t="s">
        <v>41</v>
      </c>
      <c r="J13" s="947" t="s">
        <v>228</v>
      </c>
      <c r="K13" s="949" t="s">
        <v>30</v>
      </c>
      <c r="L13" s="927"/>
    </row>
    <row r="14" spans="1:13 16376:16376" ht="86.25" customHeight="1" thickBot="1" x14ac:dyDescent="0.3">
      <c r="A14" s="925"/>
      <c r="B14" s="922"/>
      <c r="C14" s="919"/>
      <c r="D14" s="933"/>
      <c r="E14" s="931"/>
      <c r="F14" s="944"/>
      <c r="G14" s="942"/>
      <c r="H14" s="940"/>
      <c r="I14" s="929"/>
      <c r="J14" s="948"/>
      <c r="K14" s="950"/>
      <c r="L14" s="928"/>
      <c r="XEV14" s="784"/>
    </row>
    <row r="15" spans="1:13 16376:16376" x14ac:dyDescent="0.25">
      <c r="A15" s="26">
        <v>11000</v>
      </c>
      <c r="B15" s="28" t="s">
        <v>4</v>
      </c>
      <c r="C15" s="27">
        <v>0.17769266393013733</v>
      </c>
      <c r="D15" s="1">
        <f>ROUND(C15*$C$5,0)</f>
        <v>3541514562</v>
      </c>
      <c r="E15" s="1"/>
      <c r="F15" s="2">
        <f>D15-E15</f>
        <v>3541514562</v>
      </c>
      <c r="G15" s="30">
        <f>'2d Výkonová část segment 4'!X6</f>
        <v>0.20379942420385702</v>
      </c>
      <c r="H15" s="2">
        <f>ROUND(G15*$C$6,0)</f>
        <v>1281233657</v>
      </c>
      <c r="I15" s="294">
        <f>SUMIF('3a Ukazatel P - lékařské fakult'!$A$6:$A$13,'4 RO I'!A15,'3a Ukazatel P - lékařské fakult'!$E$6:$E$13)</f>
        <v>445493927</v>
      </c>
      <c r="J15" s="487"/>
      <c r="K15" s="774"/>
      <c r="L15" s="288">
        <f>F15+H15+I15+J15+K15</f>
        <v>5268242146</v>
      </c>
      <c r="M15" s="542"/>
    </row>
    <row r="16" spans="1:13 16376:16376" x14ac:dyDescent="0.25">
      <c r="A16" s="25">
        <v>12000</v>
      </c>
      <c r="B16" s="29" t="s">
        <v>5</v>
      </c>
      <c r="C16" s="19">
        <v>3.082602439109907E-2</v>
      </c>
      <c r="D16" s="4">
        <f t="shared" ref="D16:D40" si="0">ROUND(C16*$C$5,0)</f>
        <v>614379974</v>
      </c>
      <c r="E16" s="4"/>
      <c r="F16" s="5">
        <f t="shared" ref="F16:F40" si="1">D16-E16</f>
        <v>614379974</v>
      </c>
      <c r="G16" s="31">
        <f>'2c Výkonová část segment 3'!X6</f>
        <v>2.9656832510577678E-2</v>
      </c>
      <c r="H16" s="5">
        <f t="shared" ref="H16:H40" si="2">ROUND(G16*$C$6,0)</f>
        <v>186444747</v>
      </c>
      <c r="I16" s="295"/>
      <c r="J16" s="5"/>
      <c r="K16" s="775"/>
      <c r="L16" s="289">
        <f t="shared" ref="L16:L40" si="3">F16+H16+I16+J16+K16</f>
        <v>800824721</v>
      </c>
      <c r="M16" s="542"/>
    </row>
    <row r="17" spans="1:13" x14ac:dyDescent="0.25">
      <c r="A17" s="25">
        <v>13000</v>
      </c>
      <c r="B17" s="29" t="s">
        <v>6</v>
      </c>
      <c r="C17" s="19">
        <v>2.4582741623257617E-2</v>
      </c>
      <c r="D17" s="4">
        <f t="shared" si="0"/>
        <v>489947843</v>
      </c>
      <c r="E17" s="4"/>
      <c r="F17" s="5">
        <f t="shared" si="1"/>
        <v>489947843</v>
      </c>
      <c r="G17" s="31">
        <f>'2c Výkonová část segment 3'!X7</f>
        <v>1.4111770137298939E-2</v>
      </c>
      <c r="H17" s="5">
        <f>ROUND(G17*$C$6-0.2,0)</f>
        <v>88717006</v>
      </c>
      <c r="I17" s="295"/>
      <c r="J17" s="5"/>
      <c r="K17" s="775">
        <v>24603295</v>
      </c>
      <c r="L17" s="289">
        <f t="shared" si="3"/>
        <v>603268144</v>
      </c>
      <c r="M17" s="542"/>
    </row>
    <row r="18" spans="1:13" x14ac:dyDescent="0.25">
      <c r="A18" s="25">
        <v>14000</v>
      </c>
      <c r="B18" s="29" t="s">
        <v>7</v>
      </c>
      <c r="C18" s="19">
        <v>0.1168226092020371</v>
      </c>
      <c r="D18" s="4">
        <f t="shared" si="0"/>
        <v>2328340194</v>
      </c>
      <c r="E18" s="4"/>
      <c r="F18" s="5">
        <f t="shared" si="1"/>
        <v>2328340194</v>
      </c>
      <c r="G18" s="30">
        <f>'2d Výkonová část segment 4'!X7</f>
        <v>0.12415831588711222</v>
      </c>
      <c r="H18" s="5">
        <f t="shared" si="2"/>
        <v>780550847</v>
      </c>
      <c r="I18" s="295">
        <f>SUMIF('3a Ukazatel P - lékařské fakult'!$A$6:$A$13,'4 RO I'!A18,'3a Ukazatel P - lékařské fakult'!$E$6:$E$13)</f>
        <v>140023486</v>
      </c>
      <c r="J18" s="5"/>
      <c r="K18" s="775"/>
      <c r="L18" s="290">
        <f t="shared" si="3"/>
        <v>3248914527</v>
      </c>
      <c r="M18" s="542"/>
    </row>
    <row r="19" spans="1:13" x14ac:dyDescent="0.25">
      <c r="A19" s="25">
        <v>15000</v>
      </c>
      <c r="B19" s="29" t="s">
        <v>8</v>
      </c>
      <c r="C19" s="19">
        <v>6.3291886180730228E-2</v>
      </c>
      <c r="D19" s="4">
        <f t="shared" si="0"/>
        <v>1261442828</v>
      </c>
      <c r="E19" s="4"/>
      <c r="F19" s="5">
        <f t="shared" si="1"/>
        <v>1261442828</v>
      </c>
      <c r="G19" s="30">
        <f>'2d Výkonová část segment 4'!X8</f>
        <v>6.987948290866397E-2</v>
      </c>
      <c r="H19" s="5">
        <f t="shared" si="2"/>
        <v>439314026</v>
      </c>
      <c r="I19" s="295">
        <f>SUMIF('3a Ukazatel P - lékařské fakult'!$A$6:$A$13,'4 RO I'!A19,'3a Ukazatel P - lékařské fakult'!$E$6:$E$13)</f>
        <v>77368249</v>
      </c>
      <c r="J19" s="5"/>
      <c r="K19" s="775"/>
      <c r="L19" s="290">
        <f t="shared" si="3"/>
        <v>1778125103</v>
      </c>
      <c r="M19" s="542"/>
    </row>
    <row r="20" spans="1:13" x14ac:dyDescent="0.25">
      <c r="A20" s="25">
        <v>16000</v>
      </c>
      <c r="B20" s="29" t="s">
        <v>218</v>
      </c>
      <c r="C20" s="19">
        <v>1.2314671012166578E-2</v>
      </c>
      <c r="D20" s="4">
        <f t="shared" si="0"/>
        <v>245438308</v>
      </c>
      <c r="E20" s="4"/>
      <c r="F20" s="5">
        <f t="shared" si="1"/>
        <v>245438308</v>
      </c>
      <c r="G20" s="31">
        <f>'2c Výkonová část segment 3'!X8</f>
        <v>6.9433051948310735E-3</v>
      </c>
      <c r="H20" s="5">
        <f t="shared" si="2"/>
        <v>43650743</v>
      </c>
      <c r="I20" s="295"/>
      <c r="J20" s="5">
        <f>'3b Ukazatel P - VETUNI'!C9</f>
        <v>30212000</v>
      </c>
      <c r="K20" s="775"/>
      <c r="L20" s="289">
        <f t="shared" si="3"/>
        <v>319301051</v>
      </c>
      <c r="M20" s="542"/>
    </row>
    <row r="21" spans="1:13" x14ac:dyDescent="0.25">
      <c r="A21" s="25">
        <v>17000</v>
      </c>
      <c r="B21" s="29" t="s">
        <v>9</v>
      </c>
      <c r="C21" s="19">
        <v>2.7883961720174572E-2</v>
      </c>
      <c r="D21" s="4">
        <f t="shared" si="0"/>
        <v>555743013</v>
      </c>
      <c r="E21" s="4"/>
      <c r="F21" s="5">
        <f t="shared" si="1"/>
        <v>555743013</v>
      </c>
      <c r="G21" s="31">
        <f>'2c Výkonová část segment 3'!X9</f>
        <v>2.615218341194097E-2</v>
      </c>
      <c r="H21" s="5">
        <f t="shared" si="2"/>
        <v>164411935</v>
      </c>
      <c r="I21" s="295">
        <f>SUMIF('3a Ukazatel P - lékařské fakult'!$A$6:$A$13,'4 RO I'!A21,'3a Ukazatel P - lékařské fakult'!$E$6:$E$13)</f>
        <v>37114338</v>
      </c>
      <c r="J21" s="5"/>
      <c r="K21" s="775"/>
      <c r="L21" s="289">
        <f t="shared" si="3"/>
        <v>757269286</v>
      </c>
      <c r="M21" s="542"/>
    </row>
    <row r="22" spans="1:13" x14ac:dyDescent="0.25">
      <c r="A22" s="25">
        <v>18000</v>
      </c>
      <c r="B22" s="29" t="s">
        <v>10</v>
      </c>
      <c r="C22" s="19">
        <v>1.6988869327702848E-2</v>
      </c>
      <c r="D22" s="4">
        <f t="shared" si="0"/>
        <v>338597705</v>
      </c>
      <c r="E22" s="4"/>
      <c r="F22" s="5">
        <f t="shared" si="1"/>
        <v>338597705</v>
      </c>
      <c r="G22" s="31">
        <f>'2c Výkonová část segment 3'!X10</f>
        <v>1.8384431177660001E-2</v>
      </c>
      <c r="H22" s="5">
        <f>ROUND(G22*$C$6,0)</f>
        <v>115578109</v>
      </c>
      <c r="I22" s="295"/>
      <c r="J22" s="5"/>
      <c r="K22" s="775"/>
      <c r="L22" s="289">
        <f t="shared" si="3"/>
        <v>454175814</v>
      </c>
      <c r="M22" s="542"/>
    </row>
    <row r="23" spans="1:13" x14ac:dyDescent="0.25">
      <c r="A23" s="25">
        <v>19000</v>
      </c>
      <c r="B23" s="29" t="s">
        <v>11</v>
      </c>
      <c r="C23" s="19">
        <v>1.5380770044140011E-2</v>
      </c>
      <c r="D23" s="4">
        <f t="shared" si="0"/>
        <v>306547383</v>
      </c>
      <c r="E23" s="4"/>
      <c r="F23" s="5">
        <f t="shared" si="1"/>
        <v>306547383</v>
      </c>
      <c r="G23" s="31">
        <f>'2c Výkonová část segment 3'!X11</f>
        <v>1.0062906360900207E-2</v>
      </c>
      <c r="H23" s="5">
        <f t="shared" si="2"/>
        <v>63262859</v>
      </c>
      <c r="I23" s="295"/>
      <c r="J23" s="5"/>
      <c r="K23" s="775"/>
      <c r="L23" s="289">
        <f t="shared" si="3"/>
        <v>369810242</v>
      </c>
      <c r="M23" s="542"/>
    </row>
    <row r="24" spans="1:13" x14ac:dyDescent="0.25">
      <c r="A24" s="25">
        <v>21000</v>
      </c>
      <c r="B24" s="29" t="s">
        <v>12</v>
      </c>
      <c r="C24" s="19">
        <v>8.6000149591062336E-2</v>
      </c>
      <c r="D24" s="4">
        <f>ROUND(C24*$C$5,0)</f>
        <v>1714031268</v>
      </c>
      <c r="E24" s="4"/>
      <c r="F24" s="5">
        <f t="shared" si="1"/>
        <v>1714031268</v>
      </c>
      <c r="G24" s="30">
        <f>'2d Výkonová část segment 4'!X9</f>
        <v>8.5389985973546106E-2</v>
      </c>
      <c r="H24" s="5">
        <f t="shared" si="2"/>
        <v>536824500</v>
      </c>
      <c r="I24" s="295"/>
      <c r="J24" s="5"/>
      <c r="K24" s="775"/>
      <c r="L24" s="290">
        <f t="shared" si="3"/>
        <v>2250855768</v>
      </c>
      <c r="M24" s="542"/>
    </row>
    <row r="25" spans="1:13" x14ac:dyDescent="0.25">
      <c r="A25" s="25">
        <v>22000</v>
      </c>
      <c r="B25" s="29" t="s">
        <v>13</v>
      </c>
      <c r="C25" s="19">
        <v>2.2861221426518533E-2</v>
      </c>
      <c r="D25" s="4">
        <f t="shared" si="0"/>
        <v>455636979</v>
      </c>
      <c r="E25" s="4"/>
      <c r="F25" s="5">
        <f t="shared" si="1"/>
        <v>455636979</v>
      </c>
      <c r="G25" s="31">
        <f>'2c Výkonová část segment 3'!X12</f>
        <v>3.4287830076116889E-2</v>
      </c>
      <c r="H25" s="5">
        <f t="shared" si="2"/>
        <v>215558617</v>
      </c>
      <c r="I25" s="295"/>
      <c r="J25" s="5"/>
      <c r="K25" s="775"/>
      <c r="L25" s="289">
        <f t="shared" si="3"/>
        <v>671195596</v>
      </c>
      <c r="M25" s="542"/>
    </row>
    <row r="26" spans="1:13" x14ac:dyDescent="0.25">
      <c r="A26" s="25">
        <v>23000</v>
      </c>
      <c r="B26" s="29" t="s">
        <v>14</v>
      </c>
      <c r="C26" s="19">
        <v>3.7418715986449913E-2</v>
      </c>
      <c r="D26" s="4">
        <f t="shared" si="0"/>
        <v>745776019</v>
      </c>
      <c r="E26" s="4"/>
      <c r="F26" s="5">
        <f t="shared" si="1"/>
        <v>745776019</v>
      </c>
      <c r="G26" s="31">
        <f>'2c Výkonová část segment 3'!X13</f>
        <v>3.5584768389981786E-2</v>
      </c>
      <c r="H26" s="5">
        <f t="shared" si="2"/>
        <v>223712128</v>
      </c>
      <c r="I26" s="295"/>
      <c r="J26" s="5"/>
      <c r="K26" s="775">
        <v>30519579</v>
      </c>
      <c r="L26" s="289">
        <f t="shared" si="3"/>
        <v>1000007726</v>
      </c>
      <c r="M26" s="542"/>
    </row>
    <row r="27" spans="1:13" x14ac:dyDescent="0.25">
      <c r="A27" s="25">
        <v>24000</v>
      </c>
      <c r="B27" s="29" t="s">
        <v>15</v>
      </c>
      <c r="C27" s="19">
        <v>2.1809672008994151E-2</v>
      </c>
      <c r="D27" s="4">
        <f t="shared" si="0"/>
        <v>434679009</v>
      </c>
      <c r="E27" s="4"/>
      <c r="F27" s="5">
        <f t="shared" si="1"/>
        <v>434679009</v>
      </c>
      <c r="G27" s="31">
        <f>'2c Výkonová část segment 3'!X14</f>
        <v>1.7506119223532696E-2</v>
      </c>
      <c r="H27" s="5">
        <f t="shared" si="2"/>
        <v>110056391</v>
      </c>
      <c r="I27" s="295"/>
      <c r="J27" s="5"/>
      <c r="K27" s="775">
        <v>15846601</v>
      </c>
      <c r="L27" s="289">
        <f t="shared" si="3"/>
        <v>560582001</v>
      </c>
      <c r="M27" s="542"/>
    </row>
    <row r="28" spans="1:13" x14ac:dyDescent="0.25">
      <c r="A28" s="25">
        <v>25000</v>
      </c>
      <c r="B28" s="29" t="s">
        <v>16</v>
      </c>
      <c r="C28" s="19">
        <v>2.6156400983062163E-2</v>
      </c>
      <c r="D28" s="4">
        <f t="shared" si="0"/>
        <v>521311758</v>
      </c>
      <c r="E28" s="4"/>
      <c r="F28" s="5">
        <f>D28-E28</f>
        <v>521311758</v>
      </c>
      <c r="G28" s="31">
        <f>'2c Výkonová část segment 3'!X15</f>
        <v>2.3161329710964171E-2</v>
      </c>
      <c r="H28" s="5">
        <f t="shared" si="2"/>
        <v>145609220</v>
      </c>
      <c r="I28" s="295"/>
      <c r="J28" s="5"/>
      <c r="K28" s="775"/>
      <c r="L28" s="289">
        <f t="shared" si="3"/>
        <v>666920978</v>
      </c>
      <c r="M28" s="542"/>
    </row>
    <row r="29" spans="1:13" x14ac:dyDescent="0.25">
      <c r="A29" s="25">
        <v>26000</v>
      </c>
      <c r="B29" s="29" t="s">
        <v>17</v>
      </c>
      <c r="C29" s="19">
        <v>6.9372909625618692E-2</v>
      </c>
      <c r="D29" s="4">
        <f t="shared" si="0"/>
        <v>1382641040</v>
      </c>
      <c r="E29" s="4"/>
      <c r="F29" s="5">
        <f t="shared" si="1"/>
        <v>1382641040</v>
      </c>
      <c r="G29" s="30">
        <f>'2d Výkonová část segment 4'!X10</f>
        <v>6.0779700359330301E-2</v>
      </c>
      <c r="H29" s="5">
        <f>ROUND(G29*$C$6-0.2,0)</f>
        <v>382106073</v>
      </c>
      <c r="I29" s="295"/>
      <c r="J29" s="5"/>
      <c r="K29" s="775"/>
      <c r="L29" s="290">
        <f t="shared" si="3"/>
        <v>1764747113</v>
      </c>
      <c r="M29" s="542"/>
    </row>
    <row r="30" spans="1:13" x14ac:dyDescent="0.25">
      <c r="A30" s="25">
        <v>27000</v>
      </c>
      <c r="B30" s="29" t="s">
        <v>18</v>
      </c>
      <c r="C30" s="19">
        <v>4.8347993229739039E-2</v>
      </c>
      <c r="D30" s="4">
        <f t="shared" si="0"/>
        <v>963602651</v>
      </c>
      <c r="E30" s="4"/>
      <c r="F30" s="5">
        <f t="shared" si="1"/>
        <v>963602651</v>
      </c>
      <c r="G30" s="31">
        <f>'2c Výkonová část segment 3'!X16</f>
        <v>3.5165087036861664E-2</v>
      </c>
      <c r="H30" s="5">
        <f t="shared" si="2"/>
        <v>221073702</v>
      </c>
      <c r="I30" s="295"/>
      <c r="J30" s="5"/>
      <c r="K30" s="775"/>
      <c r="L30" s="289">
        <f t="shared" si="3"/>
        <v>1184676353</v>
      </c>
      <c r="M30" s="542"/>
    </row>
    <row r="31" spans="1:13" x14ac:dyDescent="0.25">
      <c r="A31" s="25">
        <v>28000</v>
      </c>
      <c r="B31" s="29" t="s">
        <v>19</v>
      </c>
      <c r="C31" s="19">
        <v>3.1624516501885302E-2</v>
      </c>
      <c r="D31" s="4">
        <f>ROUND(C31*$C$5,0)</f>
        <v>630294370</v>
      </c>
      <c r="E31" s="4"/>
      <c r="F31" s="5">
        <f t="shared" si="1"/>
        <v>630294370</v>
      </c>
      <c r="G31" s="31">
        <f>'2c Výkonová část segment 3'!X17</f>
        <v>2.2332081924302475E-2</v>
      </c>
      <c r="H31" s="5">
        <f t="shared" si="2"/>
        <v>140395956</v>
      </c>
      <c r="I31" s="295"/>
      <c r="J31" s="5"/>
      <c r="K31" s="775"/>
      <c r="L31" s="289">
        <f t="shared" si="3"/>
        <v>770690326</v>
      </c>
      <c r="M31" s="542"/>
    </row>
    <row r="32" spans="1:13" x14ac:dyDescent="0.25">
      <c r="A32" s="25">
        <v>31000</v>
      </c>
      <c r="B32" s="29" t="s">
        <v>20</v>
      </c>
      <c r="C32" s="19">
        <v>3.6223762423103448E-2</v>
      </c>
      <c r="D32" s="4">
        <f t="shared" si="0"/>
        <v>721959924</v>
      </c>
      <c r="E32" s="4"/>
      <c r="F32" s="5">
        <f t="shared" si="1"/>
        <v>721959924</v>
      </c>
      <c r="G32" s="31">
        <f>'2c Výkonová část segment 3'!X18</f>
        <v>3.5535311547936578E-2</v>
      </c>
      <c r="H32" s="5">
        <f t="shared" si="2"/>
        <v>223401206</v>
      </c>
      <c r="I32" s="295"/>
      <c r="J32" s="5"/>
      <c r="K32" s="775"/>
      <c r="L32" s="289">
        <f t="shared" si="3"/>
        <v>945361130</v>
      </c>
      <c r="M32" s="542"/>
    </row>
    <row r="33" spans="1:13" x14ac:dyDescent="0.25">
      <c r="A33" s="25">
        <v>41000</v>
      </c>
      <c r="B33" s="29" t="s">
        <v>21</v>
      </c>
      <c r="C33" s="19">
        <v>5.0773398703077011E-2</v>
      </c>
      <c r="D33" s="4">
        <f t="shared" si="0"/>
        <v>1011942344</v>
      </c>
      <c r="E33" s="4"/>
      <c r="F33" s="5">
        <f t="shared" si="1"/>
        <v>1011942344</v>
      </c>
      <c r="G33" s="31">
        <f>'2c Výkonová část segment 3'!X19</f>
        <v>4.9617185532815584E-2</v>
      </c>
      <c r="H33" s="5">
        <f>ROUND(G33*$C$6,0)</f>
        <v>311930264</v>
      </c>
      <c r="I33" s="295"/>
      <c r="J33" s="5"/>
      <c r="K33" s="775"/>
      <c r="L33" s="289">
        <f t="shared" si="3"/>
        <v>1323872608</v>
      </c>
      <c r="M33" s="542"/>
    </row>
    <row r="34" spans="1:13" x14ac:dyDescent="0.25">
      <c r="A34" s="25">
        <v>43000</v>
      </c>
      <c r="B34" s="29" t="s">
        <v>22</v>
      </c>
      <c r="C34" s="19">
        <v>2.9669895062079548E-2</v>
      </c>
      <c r="D34" s="4">
        <f>ROUND(C34*$C$5+0.1,0)</f>
        <v>591337668</v>
      </c>
      <c r="E34" s="4"/>
      <c r="F34" s="5">
        <f t="shared" si="1"/>
        <v>591337668</v>
      </c>
      <c r="G34" s="31">
        <f>'2c Výkonová část segment 3'!X20</f>
        <v>2.8203425840885761E-2</v>
      </c>
      <c r="H34" s="5">
        <f>ROUND(G34*$C$6,0)</f>
        <v>177307559</v>
      </c>
      <c r="I34" s="295"/>
      <c r="J34" s="5"/>
      <c r="K34" s="775"/>
      <c r="L34" s="289">
        <f t="shared" si="3"/>
        <v>768645227</v>
      </c>
      <c r="M34" s="542"/>
    </row>
    <row r="35" spans="1:13" x14ac:dyDescent="0.25">
      <c r="A35" s="25">
        <v>51000</v>
      </c>
      <c r="B35" s="29" t="s">
        <v>23</v>
      </c>
      <c r="C35" s="19">
        <v>1.7951999999999999E-2</v>
      </c>
      <c r="D35" s="4">
        <f t="shared" si="0"/>
        <v>357793440</v>
      </c>
      <c r="E35" s="4"/>
      <c r="F35" s="5">
        <f t="shared" si="1"/>
        <v>357793440</v>
      </c>
      <c r="G35" s="31">
        <f>'2a Výkonová část segment 1'!T6</f>
        <v>2.4585269004215596E-2</v>
      </c>
      <c r="H35" s="5">
        <f t="shared" si="2"/>
        <v>154561154</v>
      </c>
      <c r="I35" s="295"/>
      <c r="J35" s="5"/>
      <c r="K35" s="775"/>
      <c r="L35" s="291">
        <f t="shared" si="3"/>
        <v>512354594</v>
      </c>
      <c r="M35" s="542"/>
    </row>
    <row r="36" spans="1:13" x14ac:dyDescent="0.25">
      <c r="A36" s="25">
        <v>52000</v>
      </c>
      <c r="B36" s="29" t="s">
        <v>24</v>
      </c>
      <c r="C36" s="19">
        <v>4.6760000000000005E-3</v>
      </c>
      <c r="D36" s="4">
        <f t="shared" si="0"/>
        <v>93195305</v>
      </c>
      <c r="E36" s="4"/>
      <c r="F36" s="5">
        <f t="shared" si="1"/>
        <v>93195305</v>
      </c>
      <c r="G36" s="31">
        <f>'2a Výkonová část segment 1'!T7</f>
        <v>7.7985090010136478E-3</v>
      </c>
      <c r="H36" s="5">
        <f t="shared" si="2"/>
        <v>49027186</v>
      </c>
      <c r="I36" s="295"/>
      <c r="J36" s="5"/>
      <c r="K36" s="775"/>
      <c r="L36" s="291">
        <f t="shared" si="3"/>
        <v>142222491</v>
      </c>
      <c r="M36" s="542"/>
    </row>
    <row r="37" spans="1:13" x14ac:dyDescent="0.25">
      <c r="A37" s="25">
        <v>53000</v>
      </c>
      <c r="B37" s="29" t="s">
        <v>25</v>
      </c>
      <c r="C37" s="19">
        <v>6.9280000000000001E-3</v>
      </c>
      <c r="D37" s="4">
        <f t="shared" si="0"/>
        <v>138078930</v>
      </c>
      <c r="E37" s="4"/>
      <c r="F37" s="5">
        <f t="shared" si="1"/>
        <v>138078930</v>
      </c>
      <c r="G37" s="31">
        <f>'2a Výkonová část segment 1'!T8</f>
        <v>1.2407041665222246E-2</v>
      </c>
      <c r="H37" s="5">
        <f t="shared" si="2"/>
        <v>77999825</v>
      </c>
      <c r="I37" s="295"/>
      <c r="J37" s="5"/>
      <c r="K37" s="775"/>
      <c r="L37" s="291">
        <f t="shared" si="3"/>
        <v>216078755</v>
      </c>
      <c r="M37" s="542"/>
    </row>
    <row r="38" spans="1:13" x14ac:dyDescent="0.25">
      <c r="A38" s="25">
        <v>54000</v>
      </c>
      <c r="B38" s="29" t="s">
        <v>223</v>
      </c>
      <c r="C38" s="19">
        <v>1.0444E-2</v>
      </c>
      <c r="D38" s="4">
        <f t="shared" si="0"/>
        <v>208154784</v>
      </c>
      <c r="E38" s="4"/>
      <c r="F38" s="5">
        <f t="shared" si="1"/>
        <v>208154784</v>
      </c>
      <c r="G38" s="31">
        <f>'2a Výkonová část segment 1'!T9</f>
        <v>1.1342671417949798E-2</v>
      </c>
      <c r="H38" s="5">
        <f t="shared" si="2"/>
        <v>71308407</v>
      </c>
      <c r="I38" s="295"/>
      <c r="J38" s="5"/>
      <c r="K38" s="775"/>
      <c r="L38" s="291">
        <f t="shared" si="3"/>
        <v>279463191</v>
      </c>
      <c r="M38" s="542"/>
    </row>
    <row r="39" spans="1:13" x14ac:dyDescent="0.25">
      <c r="A39" s="25">
        <v>55000</v>
      </c>
      <c r="B39" s="29" t="s">
        <v>26</v>
      </c>
      <c r="C39" s="19">
        <v>5.8242555510266344E-3</v>
      </c>
      <c r="D39" s="4">
        <f t="shared" si="0"/>
        <v>116080683</v>
      </c>
      <c r="E39" s="4"/>
      <c r="F39" s="5">
        <f t="shared" si="1"/>
        <v>116080683</v>
      </c>
      <c r="G39" s="3">
        <f>'2b Výkonová část segment 2'!L6</f>
        <v>6.3164246280699105E-3</v>
      </c>
      <c r="H39" s="5">
        <f t="shared" si="2"/>
        <v>39709709</v>
      </c>
      <c r="I39" s="295"/>
      <c r="J39" s="5"/>
      <c r="K39" s="775"/>
      <c r="L39" s="292">
        <f t="shared" si="3"/>
        <v>155790392</v>
      </c>
      <c r="M39" s="542"/>
    </row>
    <row r="40" spans="1:13" ht="15" customHeight="1" thickBot="1" x14ac:dyDescent="0.3">
      <c r="A40" s="32">
        <v>56000</v>
      </c>
      <c r="B40" s="33" t="s">
        <v>27</v>
      </c>
      <c r="C40" s="34">
        <v>8.1329114759375667E-3</v>
      </c>
      <c r="D40" s="6">
        <f t="shared" si="0"/>
        <v>162093492</v>
      </c>
      <c r="E40" s="6"/>
      <c r="F40" s="7">
        <f t="shared" si="1"/>
        <v>162093492</v>
      </c>
      <c r="G40" s="3">
        <f>'2b Výkonová část segment 2'!L7</f>
        <v>6.8386068744126886E-3</v>
      </c>
      <c r="H40" s="7">
        <f t="shared" si="2"/>
        <v>42992532</v>
      </c>
      <c r="I40" s="297"/>
      <c r="J40" s="7"/>
      <c r="K40" s="776"/>
      <c r="L40" s="293">
        <f t="shared" si="3"/>
        <v>205086024</v>
      </c>
      <c r="M40" s="542"/>
    </row>
    <row r="41" spans="1:13" ht="15.75" thickBot="1" x14ac:dyDescent="0.3">
      <c r="A41" s="909" t="s">
        <v>28</v>
      </c>
      <c r="B41" s="917"/>
      <c r="C41" s="20">
        <f t="shared" ref="C41:L41" si="4">SUM(C15:C40)</f>
        <v>0.99999999999999967</v>
      </c>
      <c r="D41" s="9">
        <f t="shared" si="4"/>
        <v>19930561474</v>
      </c>
      <c r="E41" s="9">
        <f t="shared" si="4"/>
        <v>0</v>
      </c>
      <c r="F41" s="10">
        <f t="shared" si="4"/>
        <v>19930561474</v>
      </c>
      <c r="G41" s="8">
        <f t="shared" si="4"/>
        <v>1</v>
      </c>
      <c r="H41" s="10">
        <f t="shared" si="4"/>
        <v>6286738358</v>
      </c>
      <c r="I41" s="298">
        <f t="shared" si="4"/>
        <v>700000000</v>
      </c>
      <c r="J41" s="10">
        <f t="shared" si="4"/>
        <v>30212000</v>
      </c>
      <c r="K41" s="777">
        <f t="shared" si="4"/>
        <v>70969475</v>
      </c>
      <c r="L41" s="296">
        <f t="shared" si="4"/>
        <v>27018481307</v>
      </c>
      <c r="M41" s="542"/>
    </row>
    <row r="42" spans="1:13" ht="18" x14ac:dyDescent="0.3">
      <c r="A42" s="21"/>
      <c r="B42" s="15"/>
      <c r="C42" s="15"/>
      <c r="D42" s="15"/>
      <c r="E42" s="15"/>
      <c r="F42" s="15"/>
      <c r="G42" s="15"/>
      <c r="H42" s="22"/>
      <c r="I42" s="15"/>
    </row>
    <row r="43" spans="1:13" x14ac:dyDescent="0.25">
      <c r="H43" s="541"/>
    </row>
    <row r="44" spans="1:13" x14ac:dyDescent="0.25">
      <c r="A44" s="544" t="s">
        <v>209</v>
      </c>
      <c r="C44" s="443"/>
      <c r="D44" s="542"/>
      <c r="E44" s="443"/>
      <c r="G44" s="785"/>
      <c r="H44" s="541"/>
    </row>
    <row r="45" spans="1:13" x14ac:dyDescent="0.25">
      <c r="C45" s="443"/>
      <c r="D45" s="542"/>
      <c r="E45" s="443"/>
      <c r="G45" s="785"/>
      <c r="H45" s="541"/>
    </row>
    <row r="46" spans="1:13" x14ac:dyDescent="0.25">
      <c r="C46" s="443"/>
      <c r="D46" s="542"/>
      <c r="E46" s="443"/>
      <c r="G46" s="785"/>
      <c r="H46" s="541"/>
    </row>
    <row r="47" spans="1:13" x14ac:dyDescent="0.25">
      <c r="C47" s="443"/>
      <c r="D47" s="542"/>
      <c r="E47" s="443"/>
      <c r="G47" s="785"/>
      <c r="H47" s="541"/>
    </row>
    <row r="48" spans="1:13" x14ac:dyDescent="0.25">
      <c r="D48" s="542"/>
      <c r="H48" s="541"/>
    </row>
    <row r="49" spans="4:8" x14ac:dyDescent="0.25">
      <c r="D49" s="542"/>
      <c r="H49" s="541"/>
    </row>
    <row r="50" spans="4:8" x14ac:dyDescent="0.25">
      <c r="D50" s="542"/>
      <c r="H50" s="541"/>
    </row>
    <row r="51" spans="4:8" x14ac:dyDescent="0.25">
      <c r="D51" s="542"/>
      <c r="H51" s="541"/>
    </row>
    <row r="52" spans="4:8" x14ac:dyDescent="0.25">
      <c r="D52" s="542"/>
      <c r="H52" s="541"/>
    </row>
    <row r="53" spans="4:8" x14ac:dyDescent="0.25">
      <c r="D53" s="542"/>
      <c r="H53" s="541"/>
    </row>
    <row r="54" spans="4:8" x14ac:dyDescent="0.25">
      <c r="D54" s="542"/>
      <c r="H54" s="541"/>
    </row>
    <row r="55" spans="4:8" x14ac:dyDescent="0.25">
      <c r="D55" s="542"/>
      <c r="H55" s="541"/>
    </row>
    <row r="56" spans="4:8" x14ac:dyDescent="0.25">
      <c r="D56" s="542"/>
      <c r="H56" s="541"/>
    </row>
    <row r="57" spans="4:8" x14ac:dyDescent="0.25">
      <c r="D57" s="542"/>
      <c r="H57" s="541"/>
    </row>
    <row r="58" spans="4:8" x14ac:dyDescent="0.25">
      <c r="D58" s="542"/>
      <c r="H58" s="541"/>
    </row>
    <row r="59" spans="4:8" x14ac:dyDescent="0.25">
      <c r="D59" s="542"/>
      <c r="H59" s="541"/>
    </row>
    <row r="60" spans="4:8" x14ac:dyDescent="0.25">
      <c r="D60" s="542"/>
      <c r="H60" s="541"/>
    </row>
    <row r="61" spans="4:8" x14ac:dyDescent="0.25">
      <c r="D61" s="542"/>
      <c r="H61" s="541"/>
    </row>
    <row r="62" spans="4:8" x14ac:dyDescent="0.25">
      <c r="D62" s="542"/>
      <c r="H62" s="541"/>
    </row>
    <row r="63" spans="4:8" x14ac:dyDescent="0.25">
      <c r="D63" s="542"/>
      <c r="H63" s="541"/>
    </row>
    <row r="64" spans="4:8" x14ac:dyDescent="0.25">
      <c r="D64" s="542"/>
      <c r="H64" s="541"/>
    </row>
    <row r="65" spans="4:8" x14ac:dyDescent="0.25">
      <c r="D65" s="542"/>
      <c r="H65" s="541"/>
    </row>
    <row r="66" spans="4:8" x14ac:dyDescent="0.25">
      <c r="D66" s="542"/>
      <c r="H66" s="541"/>
    </row>
    <row r="67" spans="4:8" x14ac:dyDescent="0.25">
      <c r="D67" s="542"/>
      <c r="H67" s="541"/>
    </row>
    <row r="68" spans="4:8" x14ac:dyDescent="0.25">
      <c r="D68" s="542"/>
      <c r="H68" s="541"/>
    </row>
    <row r="69" spans="4:8" x14ac:dyDescent="0.25">
      <c r="D69" s="542"/>
    </row>
    <row r="70" spans="4:8" x14ac:dyDescent="0.25">
      <c r="D70" s="542"/>
    </row>
    <row r="71" spans="4:8" x14ac:dyDescent="0.25">
      <c r="D71" s="542"/>
    </row>
  </sheetData>
  <mergeCells count="16">
    <mergeCell ref="A41:B41"/>
    <mergeCell ref="C13:C14"/>
    <mergeCell ref="B12:B14"/>
    <mergeCell ref="A12:A14"/>
    <mergeCell ref="L12:L14"/>
    <mergeCell ref="I13:I14"/>
    <mergeCell ref="E13:E14"/>
    <mergeCell ref="D13:D14"/>
    <mergeCell ref="C12:F12"/>
    <mergeCell ref="G12:H12"/>
    <mergeCell ref="H13:H14"/>
    <mergeCell ref="G13:G14"/>
    <mergeCell ref="F13:F14"/>
    <mergeCell ref="I12:J12"/>
    <mergeCell ref="J13:J14"/>
    <mergeCell ref="K13:K14"/>
  </mergeCells>
  <hyperlinks>
    <hyperlink ref="A44" location="'0 Seznam'!A1" display="Seznam" xr:uid="{2DA5C60E-B7A3-486B-B3EF-A15D8A74DA0F}"/>
  </hyperlinks>
  <pageMargins left="0.70866141732283472" right="0.70866141732283472" top="0.78740157480314965" bottom="0.78740157480314965" header="0.31496062992125984" footer="0.31496062992125984"/>
  <pageSetup paperSize="8" scale="66" orientation="landscape" r:id="rId1"/>
  <headerFooter>
    <oddHeader xml:space="preserve">&amp;LČ. j.: 842/2025-1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0 Seznam</vt:lpstr>
      <vt:lpstr>1 Bilance</vt:lpstr>
      <vt:lpstr>2a Výkonová část segment 1</vt:lpstr>
      <vt:lpstr>2b Výkonová část segment 2</vt:lpstr>
      <vt:lpstr>2c Výkonová část segment 3</vt:lpstr>
      <vt:lpstr>2d Výkonová část segment 4</vt:lpstr>
      <vt:lpstr>3a Ukazatel P - lékařské fakult</vt:lpstr>
      <vt:lpstr>3b Ukazatel P - VETUNI</vt:lpstr>
      <vt:lpstr>4 RO I</vt:lpstr>
      <vt:lpstr>5 Ukazatel C</vt:lpstr>
      <vt:lpstr>6 Ukazatel J</vt:lpstr>
      <vt:lpstr>7 Ukazatel U</vt:lpstr>
      <vt:lpstr>8 Ukazatel I</vt:lpstr>
      <vt:lpstr>9 Fond umělecké činnosti</vt:lpstr>
      <vt:lpstr>10a Ukazatel F - U3V</vt:lpstr>
      <vt:lpstr>10b Ukazatel F - SSP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Valášek Petr</cp:lastModifiedBy>
  <cp:lastPrinted>2025-01-23T09:07:25Z</cp:lastPrinted>
  <dcterms:created xsi:type="dcterms:W3CDTF">2018-12-11T07:31:06Z</dcterms:created>
  <dcterms:modified xsi:type="dcterms:W3CDTF">2025-01-29T08:50:09Z</dcterms:modified>
</cp:coreProperties>
</file>